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theme/themeOverride1.xml" ContentType="application/vnd.openxmlformats-officedocument.themeOverrid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nnaa\Desktop\"/>
    </mc:Choice>
  </mc:AlternateContent>
  <bookViews>
    <workbookView xWindow="600" yWindow="585" windowWidth="18615" windowHeight="11445" tabRatio="869"/>
  </bookViews>
  <sheets>
    <sheet name="Bill Frequency Template" sheetId="1" r:id="rId1"/>
    <sheet name="Chart1" sheetId="2" r:id="rId2"/>
  </sheets>
  <definedNames>
    <definedName name="_xlnm.Print_Area" localSheetId="0">'Bill Frequency Template'!$A$1:$K$89</definedName>
    <definedName name="Units">'Bill Frequency Template'!$C$152:$C$153</definedName>
  </definedNames>
  <calcPr calcId="162913"/>
</workbook>
</file>

<file path=xl/calcChain.xml><?xml version="1.0" encoding="utf-8"?>
<calcChain xmlns="http://schemas.openxmlformats.org/spreadsheetml/2006/main">
  <c r="A72" i="1" l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1" i="1" l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C73" i="1" s="1"/>
  <c r="D73" i="1" l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12" i="1"/>
  <c r="F13" i="1" l="1"/>
  <c r="F14" i="1" s="1"/>
  <c r="G12" i="1"/>
  <c r="H12" i="1" s="1"/>
  <c r="F15" i="1" l="1"/>
  <c r="I12" i="1"/>
  <c r="J12" i="1" s="1"/>
  <c r="K12" i="1"/>
  <c r="F16" i="1" l="1"/>
  <c r="K13" i="1"/>
  <c r="G13" i="1"/>
  <c r="H13" i="1" s="1"/>
  <c r="F17" i="1" l="1"/>
  <c r="I13" i="1"/>
  <c r="J13" i="1" s="1"/>
  <c r="G14" i="1"/>
  <c r="H14" i="1" s="1"/>
  <c r="I14" i="1" s="1"/>
  <c r="K14" i="1"/>
  <c r="F18" i="1" l="1"/>
  <c r="J14" i="1"/>
  <c r="K15" i="1"/>
  <c r="G15" i="1"/>
  <c r="H15" i="1" s="1"/>
  <c r="I15" i="1" s="1"/>
  <c r="F19" i="1" l="1"/>
  <c r="J15" i="1"/>
  <c r="G16" i="1"/>
  <c r="H16" i="1" s="1"/>
  <c r="I16" i="1" s="1"/>
  <c r="K16" i="1"/>
  <c r="F20" i="1" l="1"/>
  <c r="J16" i="1"/>
  <c r="K17" i="1"/>
  <c r="G17" i="1"/>
  <c r="H17" i="1" s="1"/>
  <c r="I17" i="1" s="1"/>
  <c r="F21" i="1" l="1"/>
  <c r="J17" i="1"/>
  <c r="G18" i="1"/>
  <c r="H18" i="1" s="1"/>
  <c r="I18" i="1" s="1"/>
  <c r="K18" i="1"/>
  <c r="F22" i="1" l="1"/>
  <c r="J18" i="1"/>
  <c r="K19" i="1"/>
  <c r="G19" i="1"/>
  <c r="H19" i="1" s="1"/>
  <c r="I19" i="1" s="1"/>
  <c r="F23" i="1" l="1"/>
  <c r="J19" i="1"/>
  <c r="G20" i="1"/>
  <c r="H20" i="1" s="1"/>
  <c r="I20" i="1" s="1"/>
  <c r="K20" i="1"/>
  <c r="F24" i="1" l="1"/>
  <c r="J20" i="1"/>
  <c r="K21" i="1"/>
  <c r="G21" i="1"/>
  <c r="H21" i="1" s="1"/>
  <c r="I21" i="1" s="1"/>
  <c r="F25" i="1" l="1"/>
  <c r="J21" i="1"/>
  <c r="G23" i="1"/>
  <c r="H23" i="1" s="1"/>
  <c r="I23" i="1" s="1"/>
  <c r="K23" i="1"/>
  <c r="G22" i="1"/>
  <c r="H22" i="1" s="1"/>
  <c r="I22" i="1" s="1"/>
  <c r="K22" i="1"/>
  <c r="F26" i="1" l="1"/>
  <c r="J22" i="1"/>
  <c r="J23" i="1"/>
  <c r="K24" i="1"/>
  <c r="G24" i="1"/>
  <c r="H24" i="1" s="1"/>
  <c r="I24" i="1" s="1"/>
  <c r="F27" i="1" l="1"/>
  <c r="J24" i="1"/>
  <c r="G25" i="1"/>
  <c r="H25" i="1" s="1"/>
  <c r="I25" i="1" s="1"/>
  <c r="K25" i="1"/>
  <c r="F28" i="1" l="1"/>
  <c r="J25" i="1"/>
  <c r="G26" i="1"/>
  <c r="H26" i="1" s="1"/>
  <c r="I26" i="1" s="1"/>
  <c r="K26" i="1"/>
  <c r="F29" i="1" l="1"/>
  <c r="J26" i="1"/>
  <c r="G27" i="1"/>
  <c r="H27" i="1" s="1"/>
  <c r="I27" i="1" s="1"/>
  <c r="K27" i="1"/>
  <c r="F30" i="1" l="1"/>
  <c r="J27" i="1"/>
  <c r="K28" i="1"/>
  <c r="G28" i="1"/>
  <c r="H28" i="1" s="1"/>
  <c r="I28" i="1" s="1"/>
  <c r="F31" i="1" l="1"/>
  <c r="J28" i="1"/>
  <c r="G29" i="1"/>
  <c r="H29" i="1" s="1"/>
  <c r="I29" i="1" s="1"/>
  <c r="K29" i="1"/>
  <c r="F32" i="1" l="1"/>
  <c r="J29" i="1"/>
  <c r="K30" i="1"/>
  <c r="G30" i="1"/>
  <c r="H30" i="1" s="1"/>
  <c r="I30" i="1" s="1"/>
  <c r="K32" i="1" l="1"/>
  <c r="G32" i="1"/>
  <c r="H32" i="1" s="1"/>
  <c r="I32" i="1" s="1"/>
  <c r="J32" i="1" s="1"/>
  <c r="F33" i="1"/>
  <c r="J30" i="1"/>
  <c r="G31" i="1"/>
  <c r="H31" i="1" s="1"/>
  <c r="I31" i="1" s="1"/>
  <c r="K31" i="1"/>
  <c r="K33" i="1" l="1"/>
  <c r="G33" i="1"/>
  <c r="H33" i="1" s="1"/>
  <c r="I33" i="1" s="1"/>
  <c r="J33" i="1" s="1"/>
  <c r="F34" i="1"/>
  <c r="J31" i="1"/>
  <c r="K34" i="1" l="1"/>
  <c r="G34" i="1"/>
  <c r="H34" i="1" s="1"/>
  <c r="I34" i="1" s="1"/>
  <c r="J34" i="1" s="1"/>
  <c r="F35" i="1"/>
  <c r="G35" i="1" l="1"/>
  <c r="H35" i="1" s="1"/>
  <c r="I35" i="1" s="1"/>
  <c r="J35" i="1" s="1"/>
  <c r="K35" i="1"/>
  <c r="F36" i="1"/>
  <c r="K36" i="1" l="1"/>
  <c r="G36" i="1"/>
  <c r="H36" i="1" s="1"/>
  <c r="I36" i="1" s="1"/>
  <c r="J36" i="1" s="1"/>
  <c r="F37" i="1"/>
  <c r="K37" i="1" l="1"/>
  <c r="G37" i="1"/>
  <c r="H37" i="1" s="1"/>
  <c r="I37" i="1" s="1"/>
  <c r="J37" i="1" s="1"/>
  <c r="F38" i="1"/>
  <c r="K38" i="1" l="1"/>
  <c r="G38" i="1"/>
  <c r="H38" i="1" s="1"/>
  <c r="I38" i="1" s="1"/>
  <c r="J38" i="1" s="1"/>
  <c r="F39" i="1"/>
  <c r="G39" i="1" l="1"/>
  <c r="H39" i="1" s="1"/>
  <c r="I39" i="1" s="1"/>
  <c r="J39" i="1" s="1"/>
  <c r="K39" i="1"/>
  <c r="F40" i="1"/>
  <c r="G40" i="1" l="1"/>
  <c r="H40" i="1" s="1"/>
  <c r="I40" i="1" s="1"/>
  <c r="J40" i="1" s="1"/>
  <c r="K40" i="1"/>
  <c r="F41" i="1"/>
  <c r="K41" i="1" l="1"/>
  <c r="G41" i="1"/>
  <c r="H41" i="1" s="1"/>
  <c r="I41" i="1" s="1"/>
  <c r="J41" i="1" s="1"/>
  <c r="F42" i="1"/>
  <c r="G42" i="1" l="1"/>
  <c r="H42" i="1" s="1"/>
  <c r="I42" i="1" s="1"/>
  <c r="J42" i="1" s="1"/>
  <c r="K42" i="1"/>
  <c r="F43" i="1"/>
  <c r="K43" i="1" l="1"/>
  <c r="G43" i="1"/>
  <c r="F44" i="1"/>
  <c r="H43" i="1" l="1"/>
  <c r="I43" i="1" s="1"/>
  <c r="J43" i="1" s="1"/>
  <c r="G44" i="1"/>
  <c r="K44" i="1"/>
  <c r="F45" i="1"/>
  <c r="K45" i="1" l="1"/>
  <c r="G45" i="1"/>
  <c r="F46" i="1"/>
  <c r="H44" i="1"/>
  <c r="I44" i="1" s="1"/>
  <c r="J44" i="1" s="1"/>
  <c r="H45" i="1" l="1"/>
  <c r="I45" i="1" s="1"/>
  <c r="J45" i="1" s="1"/>
  <c r="G46" i="1"/>
  <c r="K46" i="1"/>
  <c r="F47" i="1"/>
  <c r="K47" i="1" l="1"/>
  <c r="G47" i="1"/>
  <c r="F48" i="1"/>
  <c r="H46" i="1"/>
  <c r="I46" i="1" s="1"/>
  <c r="J46" i="1" s="1"/>
  <c r="H47" i="1" l="1"/>
  <c r="I47" i="1" s="1"/>
  <c r="J47" i="1" s="1"/>
  <c r="G48" i="1"/>
  <c r="K48" i="1"/>
  <c r="F49" i="1"/>
  <c r="K49" i="1" l="1"/>
  <c r="G49" i="1"/>
  <c r="F50" i="1"/>
  <c r="H48" i="1"/>
  <c r="I48" i="1" s="1"/>
  <c r="J48" i="1" s="1"/>
  <c r="H49" i="1" l="1"/>
  <c r="I49" i="1" s="1"/>
  <c r="J49" i="1" s="1"/>
  <c r="K50" i="1"/>
  <c r="G50" i="1"/>
  <c r="F51" i="1"/>
  <c r="F52" i="1" l="1"/>
  <c r="H50" i="1"/>
  <c r="I50" i="1" s="1"/>
  <c r="J50" i="1" s="1"/>
  <c r="G51" i="1"/>
  <c r="K51" i="1"/>
  <c r="G52" i="1" l="1"/>
  <c r="K52" i="1"/>
  <c r="F53" i="1"/>
  <c r="H51" i="1"/>
  <c r="I51" i="1" s="1"/>
  <c r="J51" i="1" s="1"/>
  <c r="K53" i="1" l="1"/>
  <c r="G53" i="1"/>
  <c r="F54" i="1"/>
  <c r="H52" i="1"/>
  <c r="I52" i="1" s="1"/>
  <c r="J52" i="1" s="1"/>
  <c r="H53" i="1" l="1"/>
  <c r="I53" i="1" s="1"/>
  <c r="J53" i="1" s="1"/>
  <c r="G54" i="1"/>
  <c r="K54" i="1"/>
  <c r="F55" i="1"/>
  <c r="K55" i="1" l="1"/>
  <c r="G55" i="1"/>
  <c r="F56" i="1"/>
  <c r="H54" i="1"/>
  <c r="I54" i="1" s="1"/>
  <c r="J54" i="1" s="1"/>
  <c r="H55" i="1" l="1"/>
  <c r="I55" i="1" s="1"/>
  <c r="J55" i="1" s="1"/>
  <c r="G56" i="1"/>
  <c r="K56" i="1"/>
  <c r="F57" i="1"/>
  <c r="K57" i="1" l="1"/>
  <c r="G57" i="1"/>
  <c r="F58" i="1"/>
  <c r="H56" i="1"/>
  <c r="I56" i="1" s="1"/>
  <c r="J56" i="1" s="1"/>
  <c r="H57" i="1" l="1"/>
  <c r="I57" i="1" s="1"/>
  <c r="J57" i="1" s="1"/>
  <c r="G58" i="1"/>
  <c r="K58" i="1"/>
  <c r="F59" i="1"/>
  <c r="G59" i="1" l="1"/>
  <c r="K59" i="1"/>
  <c r="F60" i="1"/>
  <c r="H58" i="1"/>
  <c r="I58" i="1" s="1"/>
  <c r="J58" i="1" s="1"/>
  <c r="K60" i="1" l="1"/>
  <c r="G60" i="1"/>
  <c r="F61" i="1"/>
  <c r="H59" i="1"/>
  <c r="I59" i="1" s="1"/>
  <c r="J59" i="1" s="1"/>
  <c r="H60" i="1" l="1"/>
  <c r="I60" i="1" s="1"/>
  <c r="J60" i="1" s="1"/>
  <c r="G61" i="1"/>
  <c r="K61" i="1"/>
  <c r="F62" i="1"/>
  <c r="G62" i="1" l="1"/>
  <c r="K62" i="1"/>
  <c r="F63" i="1"/>
  <c r="H61" i="1"/>
  <c r="I61" i="1" s="1"/>
  <c r="J61" i="1" s="1"/>
  <c r="K63" i="1" l="1"/>
  <c r="G63" i="1"/>
  <c r="F64" i="1"/>
  <c r="H62" i="1"/>
  <c r="I62" i="1" s="1"/>
  <c r="J62" i="1" s="1"/>
  <c r="H63" i="1" l="1"/>
  <c r="I63" i="1" s="1"/>
  <c r="J63" i="1" s="1"/>
  <c r="G64" i="1"/>
  <c r="K64" i="1"/>
  <c r="F65" i="1"/>
  <c r="K65" i="1" l="1"/>
  <c r="G65" i="1"/>
  <c r="F66" i="1"/>
  <c r="H64" i="1"/>
  <c r="I64" i="1" s="1"/>
  <c r="J64" i="1" s="1"/>
  <c r="H65" i="1" l="1"/>
  <c r="I65" i="1" s="1"/>
  <c r="J65" i="1" s="1"/>
  <c r="G66" i="1"/>
  <c r="K66" i="1"/>
  <c r="F67" i="1"/>
  <c r="K67" i="1" l="1"/>
  <c r="G67" i="1"/>
  <c r="F68" i="1"/>
  <c r="H66" i="1"/>
  <c r="I66" i="1" s="1"/>
  <c r="J66" i="1" s="1"/>
  <c r="H67" i="1" l="1"/>
  <c r="I67" i="1" s="1"/>
  <c r="J67" i="1" s="1"/>
  <c r="K68" i="1"/>
  <c r="G68" i="1"/>
  <c r="F69" i="1"/>
  <c r="H68" i="1" l="1"/>
  <c r="I68" i="1" s="1"/>
  <c r="J68" i="1" s="1"/>
  <c r="G69" i="1"/>
  <c r="K69" i="1"/>
  <c r="F70" i="1"/>
  <c r="K70" i="1" l="1"/>
  <c r="G70" i="1"/>
  <c r="F71" i="1"/>
  <c r="H69" i="1"/>
  <c r="I69" i="1" s="1"/>
  <c r="J69" i="1" s="1"/>
  <c r="H70" i="1" l="1"/>
  <c r="I70" i="1" s="1"/>
  <c r="J70" i="1" s="1"/>
  <c r="G71" i="1"/>
  <c r="K71" i="1"/>
  <c r="F72" i="1"/>
  <c r="E73" i="1" s="1"/>
  <c r="G72" i="1" l="1"/>
  <c r="K72" i="1"/>
  <c r="F73" i="1"/>
  <c r="I73" i="1" s="1"/>
  <c r="H71" i="1"/>
  <c r="I71" i="1" s="1"/>
  <c r="J71" i="1" s="1"/>
  <c r="K73" i="1" l="1"/>
  <c r="G73" i="1"/>
  <c r="J73" i="1" s="1"/>
  <c r="H72" i="1"/>
  <c r="I72" i="1" s="1"/>
  <c r="J72" i="1" s="1"/>
</calcChain>
</file>

<file path=xl/comments1.xml><?xml version="1.0" encoding="utf-8"?>
<comments xmlns="http://schemas.openxmlformats.org/spreadsheetml/2006/main">
  <authors>
    <author>Schmidt, Denise  PSC</author>
    <author>Jeffrey Ripp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Schmidt, Denise  PSC: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3" authorId="1" shapeId="0">
      <text>
        <r>
          <rPr>
            <sz val="9"/>
            <color indexed="81"/>
            <rFont val="Tahoma"/>
            <family val="2"/>
          </rPr>
          <t xml:space="preserve">If volumes are estimated, this cell should be equal the total volume from the preceding cells minus the total volume billed in the period.
</t>
        </r>
      </text>
    </comment>
  </commentList>
</comments>
</file>

<file path=xl/sharedStrings.xml><?xml version="1.0" encoding="utf-8"?>
<sst xmlns="http://schemas.openxmlformats.org/spreadsheetml/2006/main" count="45" uniqueCount="43">
  <si>
    <t>Analysis Type:</t>
  </si>
  <si>
    <t>Units:</t>
  </si>
  <si>
    <t>Label</t>
  </si>
  <si>
    <t>Percentage Cumulative Bills</t>
  </si>
  <si>
    <t>Zero</t>
  </si>
  <si>
    <t>Column</t>
  </si>
  <si>
    <t>Formula Used/Notes</t>
  </si>
  <si>
    <t>Billing Frequency:</t>
  </si>
  <si>
    <t>All Others</t>
  </si>
  <si>
    <t>Number of Bills  in Block</t>
  </si>
  <si>
    <t>Actual number of bills with usage ending in this block</t>
  </si>
  <si>
    <t>Cumulative Bills</t>
  </si>
  <si>
    <t>Cumulative Use of Bills Stopping in Block</t>
  </si>
  <si>
    <t>Number of cumulative bills ending in this and all previous blocks</t>
  </si>
  <si>
    <t>Cumulative usage of all bills ending in this and all previous blocks</t>
  </si>
  <si>
    <t>Use of Block by Bills Exceeding Block</t>
  </si>
  <si>
    <t>The amount of water in the block attributable to bills exceeding the block (column 1 x column6)</t>
  </si>
  <si>
    <t>The total amount of water that would be billed at the block (column 5 + column7)</t>
  </si>
  <si>
    <t>&gt;100</t>
  </si>
  <si>
    <t>Reversed Bills (Cumulative Bills Through Block)</t>
  </si>
  <si>
    <t>Percentage of cumulative billed usage (consolidated factor) in or below this block.</t>
  </si>
  <si>
    <t>Percentage of bills stopping in or below this block (number of customers)</t>
  </si>
  <si>
    <t>Total Volume:</t>
  </si>
  <si>
    <t>Total Bills:</t>
  </si>
  <si>
    <t>The number of bills where usage exceeds this block</t>
  </si>
  <si>
    <t>NOTES:</t>
  </si>
  <si>
    <t>Cumulative Billed Usage (Consolidated Factor*)</t>
  </si>
  <si>
    <t>Percentage Cumulative Billed Usage</t>
  </si>
  <si>
    <t>Note: Also known as "Consolidated Factor", which can be calculated as CF = No. Reversed Bills x Billing Units in 1000s + Cumulative Consumption</t>
  </si>
  <si>
    <t>Utility Name</t>
  </si>
  <si>
    <t>&lt;--Enter total number of bills in  period</t>
  </si>
  <si>
    <t>Gallons</t>
  </si>
  <si>
    <t>Cubic Feet</t>
  </si>
  <si>
    <t>Lookup Reference:</t>
  </si>
  <si>
    <t>Monthly</t>
  </si>
  <si>
    <t>Quarterly</t>
  </si>
  <si>
    <t>Semi-Annual</t>
  </si>
  <si>
    <t>Other</t>
  </si>
  <si>
    <t>&lt;--Enter total volume billed in period in Mgals or CCF</t>
  </si>
  <si>
    <t>Total Use of Bills Stopping in Block</t>
  </si>
  <si>
    <t>CCF/1000s of Gallons in Block</t>
  </si>
  <si>
    <t>Actual usage by bills in block.  Can be estimated by multiplying the number of bills ending in this block by the top volume in the block (column 1 x column2).</t>
  </si>
  <si>
    <t>[Enter description of analysis (Residential, Q1, Annual, etc)]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</si>
</sst>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/>
    <xf numFmtId="164" fontId="2" fillId="0" borderId="0" xfId="1" applyNumberFormat="1" applyFont="1" applyFill="1" applyBorder="1" applyAlignment="1">
      <alignment horizontal="center"/>
    </xf>
    <xf numFmtId="0" fontId="3" fillId="0" borderId="0" xfId="0" quotePrefix="1" applyFont="1"/>
    <xf numFmtId="0" fontId="4" fillId="0" borderId="0" xfId="0" applyFont="1"/>
    <xf numFmtId="0" fontId="4" fillId="0" borderId="0" xfId="0" applyFont="1" applyAlignment="1">
      <alignment horizontal="center" wrapText="1"/>
    </xf>
    <xf numFmtId="2" fontId="4" fillId="0" borderId="0" xfId="0" applyNumberFormat="1" applyFont="1"/>
    <xf numFmtId="0" fontId="5" fillId="0" borderId="0" xfId="0" applyFont="1"/>
    <xf numFmtId="0" fontId="0" fillId="0" borderId="4" xfId="0" applyFill="1" applyBorder="1" applyProtection="1">
      <protection locked="0"/>
    </xf>
    <xf numFmtId="164" fontId="1" fillId="2" borderId="5" xfId="1" applyNumberFormat="1" applyFont="1" applyFill="1" applyBorder="1"/>
    <xf numFmtId="164" fontId="0" fillId="2" borderId="4" xfId="0" applyNumberFormat="1" applyFill="1" applyBorder="1"/>
    <xf numFmtId="164" fontId="0" fillId="2" borderId="0" xfId="0" applyNumberFormat="1" applyFill="1" applyBorder="1"/>
    <xf numFmtId="165" fontId="0" fillId="2" borderId="0" xfId="0" applyNumberFormat="1" applyFill="1"/>
    <xf numFmtId="165" fontId="0" fillId="2" borderId="5" xfId="0" applyNumberFormat="1" applyFill="1" applyBorder="1"/>
    <xf numFmtId="164" fontId="1" fillId="2" borderId="8" xfId="1" applyNumberFormat="1" applyFont="1" applyFill="1" applyBorder="1"/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/>
    <xf numFmtId="165" fontId="0" fillId="2" borderId="6" xfId="0" applyNumberFormat="1" applyFill="1" applyBorder="1"/>
    <xf numFmtId="165" fontId="0" fillId="2" borderId="8" xfId="0" applyNumberFormat="1" applyFill="1" applyBorder="1"/>
    <xf numFmtId="0" fontId="2" fillId="2" borderId="10" xfId="0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164" fontId="1" fillId="2" borderId="0" xfId="1" applyNumberFormat="1" applyFont="1" applyFill="1" applyBorder="1" applyAlignment="1">
      <alignment horizontal="left"/>
    </xf>
    <xf numFmtId="0" fontId="1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left"/>
    </xf>
    <xf numFmtId="164" fontId="0" fillId="2" borderId="6" xfId="1" applyNumberFormat="1" applyFont="1" applyFill="1" applyBorder="1" applyAlignment="1">
      <alignment horizontal="left"/>
    </xf>
    <xf numFmtId="0" fontId="0" fillId="2" borderId="6" xfId="1" applyNumberFormat="1" applyFont="1" applyFill="1" applyBorder="1" applyAlignment="1">
      <alignment horizontal="right"/>
    </xf>
    <xf numFmtId="164" fontId="0" fillId="0" borderId="11" xfId="1" applyNumberFormat="1" applyFon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164" fontId="0" fillId="0" borderId="6" xfId="1" applyNumberFormat="1" applyFon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Utility Name</a:t>
            </a:r>
          </a:p>
          <a:p>
            <a:pPr>
              <a:defRPr/>
            </a:pPr>
            <a:r>
              <a:rPr lang="en-US" sz="1200" baseline="0"/>
              <a:t>Description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'Bill Frequency Template'!$J$11</c:f>
              <c:strCache>
                <c:ptCount val="1"/>
                <c:pt idx="0">
                  <c:v>Percentage Cumulative Billed Usage</c:v>
                </c:pt>
              </c:strCache>
            </c:strRef>
          </c:tx>
          <c:marker>
            <c:symbol val="none"/>
          </c:marker>
          <c:xVal>
            <c:numRef>
              <c:f>'Bill Frequency Template'!$B$12:$B$72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55</c:v>
                </c:pt>
                <c:pt idx="52">
                  <c:v>60</c:v>
                </c:pt>
                <c:pt idx="53">
                  <c:v>65</c:v>
                </c:pt>
                <c:pt idx="54">
                  <c:v>70</c:v>
                </c:pt>
                <c:pt idx="55">
                  <c:v>75</c:v>
                </c:pt>
                <c:pt idx="56">
                  <c:v>80</c:v>
                </c:pt>
                <c:pt idx="57">
                  <c:v>85</c:v>
                </c:pt>
                <c:pt idx="58">
                  <c:v>90</c:v>
                </c:pt>
                <c:pt idx="59">
                  <c:v>95</c:v>
                </c:pt>
                <c:pt idx="60">
                  <c:v>100</c:v>
                </c:pt>
              </c:numCache>
            </c:numRef>
          </c:xVal>
          <c:yVal>
            <c:numRef>
              <c:f>'Bill Frequency Template'!$J$12:$J$72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37-4956-A446-D1278A93C987}"/>
            </c:ext>
          </c:extLst>
        </c:ser>
        <c:ser>
          <c:idx val="1"/>
          <c:order val="1"/>
          <c:tx>
            <c:strRef>
              <c:f>'Bill Frequency Template'!$K$11</c:f>
              <c:strCache>
                <c:ptCount val="1"/>
                <c:pt idx="0">
                  <c:v>Percentage Cumulative Bills</c:v>
                </c:pt>
              </c:strCache>
            </c:strRef>
          </c:tx>
          <c:marker>
            <c:symbol val="none"/>
          </c:marker>
          <c:xVal>
            <c:numRef>
              <c:f>'Bill Frequency Template'!$B$12:$B$72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55</c:v>
                </c:pt>
                <c:pt idx="52">
                  <c:v>60</c:v>
                </c:pt>
                <c:pt idx="53">
                  <c:v>65</c:v>
                </c:pt>
                <c:pt idx="54">
                  <c:v>70</c:v>
                </c:pt>
                <c:pt idx="55">
                  <c:v>75</c:v>
                </c:pt>
                <c:pt idx="56">
                  <c:v>80</c:v>
                </c:pt>
                <c:pt idx="57">
                  <c:v>85</c:v>
                </c:pt>
                <c:pt idx="58">
                  <c:v>90</c:v>
                </c:pt>
                <c:pt idx="59">
                  <c:v>95</c:v>
                </c:pt>
                <c:pt idx="60">
                  <c:v>100</c:v>
                </c:pt>
              </c:numCache>
            </c:numRef>
          </c:xVal>
          <c:yVal>
            <c:numRef>
              <c:f>'Bill Frequency Template'!$K$12:$K$72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37-4956-A446-D1278A93C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78480"/>
        <c:axId val="439276912"/>
      </c:scatterChart>
      <c:valAx>
        <c:axId val="439278480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Gallons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439276912"/>
        <c:crossesAt val="0"/>
        <c:crossBetween val="midCat"/>
        <c:minorUnit val="10"/>
      </c:valAx>
      <c:valAx>
        <c:axId val="43927691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39278480"/>
        <c:crossesAt val="1"/>
        <c:crossBetween val="midCat"/>
      </c:valAx>
    </c:plotArea>
    <c:legend>
      <c:legendPos val="t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11" workbookViewId="0" zoomToFit="1"/>
  </sheetViews>
  <sheetProtection content="1" objects="1"/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155"/>
  <sheetViews>
    <sheetView tabSelected="1" workbookViewId="0"/>
  </sheetViews>
  <sheetFormatPr defaultRowHeight="15" x14ac:dyDescent="0.25"/>
  <cols>
    <col min="1" max="1" width="18.75" customWidth="1"/>
    <col min="2" max="2" width="11.25" customWidth="1"/>
    <col min="3" max="3" width="14.875" bestFit="1" customWidth="1"/>
    <col min="4" max="4" width="15.125" customWidth="1"/>
    <col min="5" max="5" width="14.125" customWidth="1"/>
    <col min="6" max="6" width="14.375" customWidth="1"/>
    <col min="7" max="7" width="14.75" customWidth="1"/>
    <col min="8" max="8" width="13.125" customWidth="1"/>
    <col min="9" max="9" width="13.625" customWidth="1"/>
    <col min="10" max="10" width="14.25" customWidth="1"/>
    <col min="11" max="11" width="12.875" customWidth="1"/>
    <col min="12" max="12" width="10.375" style="13" customWidth="1"/>
    <col min="13" max="13" width="9.875" customWidth="1"/>
  </cols>
  <sheetData>
    <row r="1" spans="1:12" ht="23.25" x14ac:dyDescent="0.35">
      <c r="A1" s="16" t="s">
        <v>29</v>
      </c>
    </row>
    <row r="2" spans="1:12" x14ac:dyDescent="0.25">
      <c r="A2" s="1"/>
    </row>
    <row r="3" spans="1:12" ht="21" customHeight="1" x14ac:dyDescent="0.25">
      <c r="A3" s="28" t="s">
        <v>0</v>
      </c>
      <c r="B3" s="40" t="s">
        <v>42</v>
      </c>
      <c r="C3" s="41"/>
      <c r="D3" s="41"/>
      <c r="E3" s="37"/>
    </row>
    <row r="4" spans="1:12" ht="21" customHeight="1" x14ac:dyDescent="0.25">
      <c r="A4" s="29" t="s">
        <v>1</v>
      </c>
      <c r="B4" s="42" t="s">
        <v>31</v>
      </c>
      <c r="C4" s="43"/>
      <c r="D4" s="43"/>
      <c r="E4" s="44"/>
    </row>
    <row r="5" spans="1:12" ht="21" customHeight="1" x14ac:dyDescent="0.25">
      <c r="A5" s="30" t="s">
        <v>7</v>
      </c>
      <c r="B5" s="45" t="s">
        <v>35</v>
      </c>
      <c r="C5" s="46"/>
      <c r="D5" s="46"/>
      <c r="E5" s="39"/>
    </row>
    <row r="6" spans="1:12" x14ac:dyDescent="0.25">
      <c r="A6" s="1"/>
    </row>
    <row r="7" spans="1:12" ht="18.75" customHeight="1" x14ac:dyDescent="0.25">
      <c r="A7" s="28" t="s">
        <v>22</v>
      </c>
      <c r="B7" s="36"/>
      <c r="C7" s="37"/>
      <c r="D7" s="10" t="s">
        <v>38</v>
      </c>
      <c r="E7" s="10"/>
    </row>
    <row r="8" spans="1:12" ht="18.75" customHeight="1" x14ac:dyDescent="0.25">
      <c r="A8" s="30" t="s">
        <v>23</v>
      </c>
      <c r="B8" s="38"/>
      <c r="C8" s="39"/>
      <c r="D8" s="10" t="s">
        <v>30</v>
      </c>
      <c r="E8" s="10"/>
    </row>
    <row r="9" spans="1:12" x14ac:dyDescent="0.25">
      <c r="B9" s="2"/>
    </row>
    <row r="10" spans="1:12" x14ac:dyDescent="0.2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</row>
    <row r="11" spans="1:12" s="8" customFormat="1" ht="60" x14ac:dyDescent="0.25">
      <c r="A11" s="4" t="str">
        <f>B4</f>
        <v>Gallons</v>
      </c>
      <c r="B11" s="5" t="s">
        <v>2</v>
      </c>
      <c r="C11" s="6" t="s">
        <v>9</v>
      </c>
      <c r="D11" s="7" t="s">
        <v>11</v>
      </c>
      <c r="E11" s="6" t="s">
        <v>39</v>
      </c>
      <c r="F11" s="7" t="s">
        <v>12</v>
      </c>
      <c r="G11" s="5" t="s">
        <v>19</v>
      </c>
      <c r="H11" s="5" t="s">
        <v>15</v>
      </c>
      <c r="I11" s="5" t="s">
        <v>26</v>
      </c>
      <c r="J11" s="5" t="s">
        <v>27</v>
      </c>
      <c r="K11" s="7" t="s">
        <v>3</v>
      </c>
      <c r="L11" s="14"/>
    </row>
    <row r="12" spans="1:12" x14ac:dyDescent="0.25">
      <c r="A12" s="31" t="s">
        <v>4</v>
      </c>
      <c r="B12" s="32">
        <v>0</v>
      </c>
      <c r="C12" s="17"/>
      <c r="D12" s="18">
        <f>C12</f>
        <v>0</v>
      </c>
      <c r="E12" s="19">
        <f>B12*C12</f>
        <v>0</v>
      </c>
      <c r="F12" s="18">
        <v>0</v>
      </c>
      <c r="G12" s="20">
        <f t="shared" ref="G12:G42" si="0">$B$8-D12</f>
        <v>0</v>
      </c>
      <c r="H12" s="20">
        <f>B12*G12</f>
        <v>0</v>
      </c>
      <c r="I12" s="20">
        <f>F12+H12</f>
        <v>0</v>
      </c>
      <c r="J12" s="21" t="e">
        <f t="shared" ref="J12:J32" si="1">ROUND(I12/$B$7*100,1)</f>
        <v>#DIV/0!</v>
      </c>
      <c r="K12" s="22" t="e">
        <f t="shared" ref="K12:K42" si="2">ROUND(D12/$B$8*100,1)</f>
        <v>#DIV/0!</v>
      </c>
      <c r="L12" s="15"/>
    </row>
    <row r="13" spans="1:12" x14ac:dyDescent="0.25">
      <c r="A13" s="33" t="str">
        <f>IF(B$4="Gallons","1-1,000","1-100")</f>
        <v>1-1,000</v>
      </c>
      <c r="B13" s="32">
        <v>1</v>
      </c>
      <c r="C13" s="17"/>
      <c r="D13" s="18">
        <f>D12+C13</f>
        <v>0</v>
      </c>
      <c r="E13" s="19">
        <f t="shared" ref="E13:E72" si="3">B13*C13</f>
        <v>0</v>
      </c>
      <c r="F13" s="18">
        <f t="shared" ref="F13:F73" si="4">F12+E13</f>
        <v>0</v>
      </c>
      <c r="G13" s="20">
        <f t="shared" si="0"/>
        <v>0</v>
      </c>
      <c r="H13" s="20">
        <f t="shared" ref="H13:H72" si="5">B13*G13</f>
        <v>0</v>
      </c>
      <c r="I13" s="20">
        <f t="shared" ref="I13:I73" si="6">F13+H13</f>
        <v>0</v>
      </c>
      <c r="J13" s="21" t="e">
        <f t="shared" si="1"/>
        <v>#DIV/0!</v>
      </c>
      <c r="K13" s="22" t="e">
        <f t="shared" si="2"/>
        <v>#DIV/0!</v>
      </c>
      <c r="L13" s="15"/>
    </row>
    <row r="14" spans="1:12" x14ac:dyDescent="0.25">
      <c r="A14" s="33" t="str">
        <f>IF(B$4="Gallons","1,001-2,000","101-200")</f>
        <v>1,001-2,000</v>
      </c>
      <c r="B14" s="32">
        <v>2</v>
      </c>
      <c r="C14" s="17"/>
      <c r="D14" s="18">
        <f t="shared" ref="D14:D73" si="7">D13+C14</f>
        <v>0</v>
      </c>
      <c r="E14" s="19">
        <f t="shared" si="3"/>
        <v>0</v>
      </c>
      <c r="F14" s="18">
        <f t="shared" si="4"/>
        <v>0</v>
      </c>
      <c r="G14" s="20">
        <f t="shared" si="0"/>
        <v>0</v>
      </c>
      <c r="H14" s="20">
        <f t="shared" si="5"/>
        <v>0</v>
      </c>
      <c r="I14" s="20">
        <f t="shared" si="6"/>
        <v>0</v>
      </c>
      <c r="J14" s="21" t="e">
        <f t="shared" si="1"/>
        <v>#DIV/0!</v>
      </c>
      <c r="K14" s="22" t="e">
        <f t="shared" si="2"/>
        <v>#DIV/0!</v>
      </c>
      <c r="L14" s="15"/>
    </row>
    <row r="15" spans="1:12" x14ac:dyDescent="0.25">
      <c r="A15" s="33" t="str">
        <f>IF(B$4="Gallons","2,001-3,000","201-300")</f>
        <v>2,001-3,000</v>
      </c>
      <c r="B15" s="32">
        <v>3</v>
      </c>
      <c r="C15" s="17"/>
      <c r="D15" s="18">
        <f t="shared" si="7"/>
        <v>0</v>
      </c>
      <c r="E15" s="19">
        <f t="shared" si="3"/>
        <v>0</v>
      </c>
      <c r="F15" s="18">
        <f t="shared" si="4"/>
        <v>0</v>
      </c>
      <c r="G15" s="20">
        <f t="shared" si="0"/>
        <v>0</v>
      </c>
      <c r="H15" s="20">
        <f t="shared" si="5"/>
        <v>0</v>
      </c>
      <c r="I15" s="20">
        <f t="shared" si="6"/>
        <v>0</v>
      </c>
      <c r="J15" s="21" t="e">
        <f t="shared" si="1"/>
        <v>#DIV/0!</v>
      </c>
      <c r="K15" s="22" t="e">
        <f t="shared" si="2"/>
        <v>#DIV/0!</v>
      </c>
      <c r="L15" s="15"/>
    </row>
    <row r="16" spans="1:12" x14ac:dyDescent="0.25">
      <c r="A16" s="33" t="str">
        <f>IF(B$4="Gallons","3,001-4,000","301-400")</f>
        <v>3,001-4,000</v>
      </c>
      <c r="B16" s="32">
        <v>4</v>
      </c>
      <c r="C16" s="17"/>
      <c r="D16" s="18">
        <f t="shared" si="7"/>
        <v>0</v>
      </c>
      <c r="E16" s="19">
        <f t="shared" si="3"/>
        <v>0</v>
      </c>
      <c r="F16" s="18">
        <f t="shared" si="4"/>
        <v>0</v>
      </c>
      <c r="G16" s="20">
        <f t="shared" si="0"/>
        <v>0</v>
      </c>
      <c r="H16" s="20">
        <f t="shared" si="5"/>
        <v>0</v>
      </c>
      <c r="I16" s="20">
        <f t="shared" si="6"/>
        <v>0</v>
      </c>
      <c r="J16" s="21" t="e">
        <f t="shared" si="1"/>
        <v>#DIV/0!</v>
      </c>
      <c r="K16" s="22" t="e">
        <f t="shared" si="2"/>
        <v>#DIV/0!</v>
      </c>
      <c r="L16" s="15"/>
    </row>
    <row r="17" spans="1:12" x14ac:dyDescent="0.25">
      <c r="A17" s="33" t="str">
        <f>IF(B$4="Gallons","4,001-5,000","401-500")</f>
        <v>4,001-5,000</v>
      </c>
      <c r="B17" s="32">
        <v>5</v>
      </c>
      <c r="C17" s="17"/>
      <c r="D17" s="18">
        <f t="shared" si="7"/>
        <v>0</v>
      </c>
      <c r="E17" s="19">
        <f t="shared" si="3"/>
        <v>0</v>
      </c>
      <c r="F17" s="18">
        <f t="shared" si="4"/>
        <v>0</v>
      </c>
      <c r="G17" s="20">
        <f t="shared" si="0"/>
        <v>0</v>
      </c>
      <c r="H17" s="20">
        <f t="shared" si="5"/>
        <v>0</v>
      </c>
      <c r="I17" s="20">
        <f t="shared" si="6"/>
        <v>0</v>
      </c>
      <c r="J17" s="21" t="e">
        <f t="shared" si="1"/>
        <v>#DIV/0!</v>
      </c>
      <c r="K17" s="22" t="e">
        <f t="shared" si="2"/>
        <v>#DIV/0!</v>
      </c>
      <c r="L17" s="15"/>
    </row>
    <row r="18" spans="1:12" x14ac:dyDescent="0.25">
      <c r="A18" s="33" t="str">
        <f>IF(B$4="Gallons","5,001-6,000","501-600")</f>
        <v>5,001-6,000</v>
      </c>
      <c r="B18" s="32">
        <v>6</v>
      </c>
      <c r="C18" s="17"/>
      <c r="D18" s="18">
        <f t="shared" si="7"/>
        <v>0</v>
      </c>
      <c r="E18" s="19">
        <f t="shared" si="3"/>
        <v>0</v>
      </c>
      <c r="F18" s="18">
        <f t="shared" si="4"/>
        <v>0</v>
      </c>
      <c r="G18" s="20">
        <f t="shared" si="0"/>
        <v>0</v>
      </c>
      <c r="H18" s="20">
        <f t="shared" si="5"/>
        <v>0</v>
      </c>
      <c r="I18" s="20">
        <f t="shared" si="6"/>
        <v>0</v>
      </c>
      <c r="J18" s="21" t="e">
        <f t="shared" si="1"/>
        <v>#DIV/0!</v>
      </c>
      <c r="K18" s="22" t="e">
        <f t="shared" si="2"/>
        <v>#DIV/0!</v>
      </c>
      <c r="L18" s="15"/>
    </row>
    <row r="19" spans="1:12" x14ac:dyDescent="0.25">
      <c r="A19" s="33" t="str">
        <f>IF(B$4="Gallons","6,001-7,000","601-700")</f>
        <v>6,001-7,000</v>
      </c>
      <c r="B19" s="32">
        <v>7</v>
      </c>
      <c r="C19" s="17"/>
      <c r="D19" s="18">
        <f t="shared" si="7"/>
        <v>0</v>
      </c>
      <c r="E19" s="19">
        <f t="shared" si="3"/>
        <v>0</v>
      </c>
      <c r="F19" s="18">
        <f t="shared" si="4"/>
        <v>0</v>
      </c>
      <c r="G19" s="20">
        <f t="shared" si="0"/>
        <v>0</v>
      </c>
      <c r="H19" s="20">
        <f t="shared" si="5"/>
        <v>0</v>
      </c>
      <c r="I19" s="20">
        <f t="shared" si="6"/>
        <v>0</v>
      </c>
      <c r="J19" s="21" t="e">
        <f t="shared" si="1"/>
        <v>#DIV/0!</v>
      </c>
      <c r="K19" s="22" t="e">
        <f t="shared" si="2"/>
        <v>#DIV/0!</v>
      </c>
      <c r="L19" s="15"/>
    </row>
    <row r="20" spans="1:12" x14ac:dyDescent="0.25">
      <c r="A20" s="33" t="str">
        <f>IF(B$4="Gallons","7,001-8,000","701-800")</f>
        <v>7,001-8,000</v>
      </c>
      <c r="B20" s="32">
        <v>8</v>
      </c>
      <c r="C20" s="17"/>
      <c r="D20" s="18">
        <f t="shared" si="7"/>
        <v>0</v>
      </c>
      <c r="E20" s="19">
        <f t="shared" si="3"/>
        <v>0</v>
      </c>
      <c r="F20" s="18">
        <f t="shared" si="4"/>
        <v>0</v>
      </c>
      <c r="G20" s="20">
        <f t="shared" si="0"/>
        <v>0</v>
      </c>
      <c r="H20" s="20">
        <f t="shared" si="5"/>
        <v>0</v>
      </c>
      <c r="I20" s="20">
        <f t="shared" si="6"/>
        <v>0</v>
      </c>
      <c r="J20" s="21" t="e">
        <f t="shared" si="1"/>
        <v>#DIV/0!</v>
      </c>
      <c r="K20" s="22" t="e">
        <f t="shared" si="2"/>
        <v>#DIV/0!</v>
      </c>
      <c r="L20" s="15"/>
    </row>
    <row r="21" spans="1:12" x14ac:dyDescent="0.25">
      <c r="A21" s="33" t="str">
        <f>IF(B$4="Gallons","8,001-9,000","801-900")</f>
        <v>8,001-9,000</v>
      </c>
      <c r="B21" s="32">
        <v>9</v>
      </c>
      <c r="C21" s="17"/>
      <c r="D21" s="18">
        <f t="shared" si="7"/>
        <v>0</v>
      </c>
      <c r="E21" s="19">
        <f t="shared" si="3"/>
        <v>0</v>
      </c>
      <c r="F21" s="18">
        <f t="shared" si="4"/>
        <v>0</v>
      </c>
      <c r="G21" s="20">
        <f t="shared" si="0"/>
        <v>0</v>
      </c>
      <c r="H21" s="20">
        <f t="shared" si="5"/>
        <v>0</v>
      </c>
      <c r="I21" s="20">
        <f t="shared" si="6"/>
        <v>0</v>
      </c>
      <c r="J21" s="21" t="e">
        <f t="shared" si="1"/>
        <v>#DIV/0!</v>
      </c>
      <c r="K21" s="22" t="e">
        <f t="shared" si="2"/>
        <v>#DIV/0!</v>
      </c>
      <c r="L21" s="15"/>
    </row>
    <row r="22" spans="1:12" x14ac:dyDescent="0.25">
      <c r="A22" s="33" t="str">
        <f>IF(B$4="Gallons","9,001-10,000","901-1000")</f>
        <v>9,001-10,000</v>
      </c>
      <c r="B22" s="32">
        <v>10</v>
      </c>
      <c r="C22" s="17"/>
      <c r="D22" s="18">
        <f t="shared" si="7"/>
        <v>0</v>
      </c>
      <c r="E22" s="19">
        <f t="shared" si="3"/>
        <v>0</v>
      </c>
      <c r="F22" s="18">
        <f t="shared" si="4"/>
        <v>0</v>
      </c>
      <c r="G22" s="20">
        <f t="shared" si="0"/>
        <v>0</v>
      </c>
      <c r="H22" s="20">
        <f t="shared" si="5"/>
        <v>0</v>
      </c>
      <c r="I22" s="20">
        <f t="shared" si="6"/>
        <v>0</v>
      </c>
      <c r="J22" s="21" t="e">
        <f t="shared" si="1"/>
        <v>#DIV/0!</v>
      </c>
      <c r="K22" s="22" t="e">
        <f t="shared" si="2"/>
        <v>#DIV/0!</v>
      </c>
      <c r="L22" s="15"/>
    </row>
    <row r="23" spans="1:12" x14ac:dyDescent="0.25">
      <c r="A23" s="33" t="str">
        <f>IF(B$4="Gallons","10,001-11,000","1001-1100")</f>
        <v>10,001-11,000</v>
      </c>
      <c r="B23" s="32">
        <v>11</v>
      </c>
      <c r="C23" s="17"/>
      <c r="D23" s="18">
        <f t="shared" si="7"/>
        <v>0</v>
      </c>
      <c r="E23" s="19">
        <f t="shared" si="3"/>
        <v>0</v>
      </c>
      <c r="F23" s="18">
        <f t="shared" si="4"/>
        <v>0</v>
      </c>
      <c r="G23" s="20">
        <f t="shared" si="0"/>
        <v>0</v>
      </c>
      <c r="H23" s="20">
        <f t="shared" si="5"/>
        <v>0</v>
      </c>
      <c r="I23" s="20">
        <f t="shared" si="6"/>
        <v>0</v>
      </c>
      <c r="J23" s="21" t="e">
        <f t="shared" ref="J23:J31" si="8">ROUND(I23/$B$7*100,1)</f>
        <v>#DIV/0!</v>
      </c>
      <c r="K23" s="22" t="e">
        <f t="shared" si="2"/>
        <v>#DIV/0!</v>
      </c>
      <c r="L23" s="15"/>
    </row>
    <row r="24" spans="1:12" x14ac:dyDescent="0.25">
      <c r="A24" s="33" t="str">
        <f>IF(B$4="Gallons","11,001-12,000","1101-1200")</f>
        <v>11,001-12,000</v>
      </c>
      <c r="B24" s="32">
        <v>12</v>
      </c>
      <c r="C24" s="17"/>
      <c r="D24" s="18">
        <f t="shared" si="7"/>
        <v>0</v>
      </c>
      <c r="E24" s="19">
        <f t="shared" si="3"/>
        <v>0</v>
      </c>
      <c r="F24" s="18">
        <f t="shared" si="4"/>
        <v>0</v>
      </c>
      <c r="G24" s="20">
        <f t="shared" si="0"/>
        <v>0</v>
      </c>
      <c r="H24" s="20">
        <f t="shared" si="5"/>
        <v>0</v>
      </c>
      <c r="I24" s="20">
        <f t="shared" si="6"/>
        <v>0</v>
      </c>
      <c r="J24" s="21" t="e">
        <f t="shared" si="8"/>
        <v>#DIV/0!</v>
      </c>
      <c r="K24" s="22" t="e">
        <f t="shared" si="2"/>
        <v>#DIV/0!</v>
      </c>
      <c r="L24" s="15"/>
    </row>
    <row r="25" spans="1:12" x14ac:dyDescent="0.25">
      <c r="A25" s="33" t="str">
        <f>IF(B$4="Gallons","12,001-13,000","1201-1300")</f>
        <v>12,001-13,000</v>
      </c>
      <c r="B25" s="32">
        <v>13</v>
      </c>
      <c r="C25" s="17"/>
      <c r="D25" s="18">
        <f t="shared" si="7"/>
        <v>0</v>
      </c>
      <c r="E25" s="19">
        <f t="shared" si="3"/>
        <v>0</v>
      </c>
      <c r="F25" s="18">
        <f t="shared" si="4"/>
        <v>0</v>
      </c>
      <c r="G25" s="20">
        <f t="shared" si="0"/>
        <v>0</v>
      </c>
      <c r="H25" s="20">
        <f t="shared" si="5"/>
        <v>0</v>
      </c>
      <c r="I25" s="20">
        <f t="shared" si="6"/>
        <v>0</v>
      </c>
      <c r="J25" s="21" t="e">
        <f t="shared" si="8"/>
        <v>#DIV/0!</v>
      </c>
      <c r="K25" s="22" t="e">
        <f t="shared" si="2"/>
        <v>#DIV/0!</v>
      </c>
      <c r="L25" s="15"/>
    </row>
    <row r="26" spans="1:12" x14ac:dyDescent="0.25">
      <c r="A26" s="33" t="str">
        <f>IF(B$4="Gallons","13,001-14,000","1301-1400")</f>
        <v>13,001-14,000</v>
      </c>
      <c r="B26" s="32">
        <v>14</v>
      </c>
      <c r="C26" s="17"/>
      <c r="D26" s="18">
        <f t="shared" si="7"/>
        <v>0</v>
      </c>
      <c r="E26" s="19">
        <f t="shared" si="3"/>
        <v>0</v>
      </c>
      <c r="F26" s="18">
        <f t="shared" si="4"/>
        <v>0</v>
      </c>
      <c r="G26" s="20">
        <f t="shared" si="0"/>
        <v>0</v>
      </c>
      <c r="H26" s="20">
        <f t="shared" si="5"/>
        <v>0</v>
      </c>
      <c r="I26" s="20">
        <f t="shared" si="6"/>
        <v>0</v>
      </c>
      <c r="J26" s="21" t="e">
        <f t="shared" si="8"/>
        <v>#DIV/0!</v>
      </c>
      <c r="K26" s="22" t="e">
        <f t="shared" si="2"/>
        <v>#DIV/0!</v>
      </c>
      <c r="L26" s="15"/>
    </row>
    <row r="27" spans="1:12" x14ac:dyDescent="0.25">
      <c r="A27" s="33" t="str">
        <f>IF(B$4="Gallons","14,001-15,000","1401-1500")</f>
        <v>14,001-15,000</v>
      </c>
      <c r="B27" s="32">
        <v>15</v>
      </c>
      <c r="C27" s="17"/>
      <c r="D27" s="18">
        <f t="shared" si="7"/>
        <v>0</v>
      </c>
      <c r="E27" s="19">
        <f t="shared" si="3"/>
        <v>0</v>
      </c>
      <c r="F27" s="18">
        <f t="shared" si="4"/>
        <v>0</v>
      </c>
      <c r="G27" s="20">
        <f t="shared" si="0"/>
        <v>0</v>
      </c>
      <c r="H27" s="20">
        <f t="shared" si="5"/>
        <v>0</v>
      </c>
      <c r="I27" s="20">
        <f t="shared" si="6"/>
        <v>0</v>
      </c>
      <c r="J27" s="21" t="e">
        <f t="shared" si="8"/>
        <v>#DIV/0!</v>
      </c>
      <c r="K27" s="22" t="e">
        <f t="shared" si="2"/>
        <v>#DIV/0!</v>
      </c>
      <c r="L27" s="15"/>
    </row>
    <row r="28" spans="1:12" x14ac:dyDescent="0.25">
      <c r="A28" s="33" t="str">
        <f>IF(B$4="Gallons","15,001-16,000","1501-1600")</f>
        <v>15,001-16,000</v>
      </c>
      <c r="B28" s="32">
        <v>16</v>
      </c>
      <c r="C28" s="17"/>
      <c r="D28" s="18">
        <f t="shared" si="7"/>
        <v>0</v>
      </c>
      <c r="E28" s="19">
        <f t="shared" si="3"/>
        <v>0</v>
      </c>
      <c r="F28" s="18">
        <f t="shared" si="4"/>
        <v>0</v>
      </c>
      <c r="G28" s="20">
        <f t="shared" si="0"/>
        <v>0</v>
      </c>
      <c r="H28" s="20">
        <f t="shared" si="5"/>
        <v>0</v>
      </c>
      <c r="I28" s="20">
        <f t="shared" si="6"/>
        <v>0</v>
      </c>
      <c r="J28" s="21" t="e">
        <f t="shared" si="8"/>
        <v>#DIV/0!</v>
      </c>
      <c r="K28" s="22" t="e">
        <f t="shared" si="2"/>
        <v>#DIV/0!</v>
      </c>
      <c r="L28" s="15"/>
    </row>
    <row r="29" spans="1:12" x14ac:dyDescent="0.25">
      <c r="A29" s="33" t="str">
        <f>IF(B$4="Gallons","16,001-17,000","1601-1700")</f>
        <v>16,001-17,000</v>
      </c>
      <c r="B29" s="32">
        <v>17</v>
      </c>
      <c r="C29" s="17"/>
      <c r="D29" s="18">
        <f t="shared" si="7"/>
        <v>0</v>
      </c>
      <c r="E29" s="19">
        <f t="shared" si="3"/>
        <v>0</v>
      </c>
      <c r="F29" s="18">
        <f t="shared" si="4"/>
        <v>0</v>
      </c>
      <c r="G29" s="20">
        <f t="shared" si="0"/>
        <v>0</v>
      </c>
      <c r="H29" s="20">
        <f t="shared" si="5"/>
        <v>0</v>
      </c>
      <c r="I29" s="20">
        <f t="shared" si="6"/>
        <v>0</v>
      </c>
      <c r="J29" s="21" t="e">
        <f t="shared" si="8"/>
        <v>#DIV/0!</v>
      </c>
      <c r="K29" s="22" t="e">
        <f t="shared" si="2"/>
        <v>#DIV/0!</v>
      </c>
      <c r="L29" s="15"/>
    </row>
    <row r="30" spans="1:12" x14ac:dyDescent="0.25">
      <c r="A30" s="33" t="str">
        <f>IF(B$4="Gallons","17,001-18,000","1701-1800")</f>
        <v>17,001-18,000</v>
      </c>
      <c r="B30" s="32">
        <v>18</v>
      </c>
      <c r="C30" s="17"/>
      <c r="D30" s="18">
        <f t="shared" si="7"/>
        <v>0</v>
      </c>
      <c r="E30" s="19">
        <f t="shared" si="3"/>
        <v>0</v>
      </c>
      <c r="F30" s="18">
        <f t="shared" si="4"/>
        <v>0</v>
      </c>
      <c r="G30" s="20">
        <f t="shared" si="0"/>
        <v>0</v>
      </c>
      <c r="H30" s="20">
        <f t="shared" si="5"/>
        <v>0</v>
      </c>
      <c r="I30" s="20">
        <f t="shared" si="6"/>
        <v>0</v>
      </c>
      <c r="J30" s="21" t="e">
        <f t="shared" si="8"/>
        <v>#DIV/0!</v>
      </c>
      <c r="K30" s="22" t="e">
        <f t="shared" si="2"/>
        <v>#DIV/0!</v>
      </c>
      <c r="L30" s="15"/>
    </row>
    <row r="31" spans="1:12" x14ac:dyDescent="0.25">
      <c r="A31" s="33" t="str">
        <f>IF(B$4="Gallons","18,001-19,000","1801-1900")</f>
        <v>18,001-19,000</v>
      </c>
      <c r="B31" s="32">
        <v>19</v>
      </c>
      <c r="C31" s="17"/>
      <c r="D31" s="18">
        <f t="shared" si="7"/>
        <v>0</v>
      </c>
      <c r="E31" s="19">
        <f t="shared" si="3"/>
        <v>0</v>
      </c>
      <c r="F31" s="18">
        <f t="shared" si="4"/>
        <v>0</v>
      </c>
      <c r="G31" s="20">
        <f t="shared" si="0"/>
        <v>0</v>
      </c>
      <c r="H31" s="20">
        <f t="shared" si="5"/>
        <v>0</v>
      </c>
      <c r="I31" s="20">
        <f t="shared" si="6"/>
        <v>0</v>
      </c>
      <c r="J31" s="21" t="e">
        <f t="shared" si="8"/>
        <v>#DIV/0!</v>
      </c>
      <c r="K31" s="22" t="e">
        <f t="shared" si="2"/>
        <v>#DIV/0!</v>
      </c>
      <c r="L31" s="15"/>
    </row>
    <row r="32" spans="1:12" x14ac:dyDescent="0.25">
      <c r="A32" s="33" t="str">
        <f>IF(B$4="Gallons","19,001-20,000","1901-2000")</f>
        <v>19,001-20,000</v>
      </c>
      <c r="B32" s="32">
        <v>20</v>
      </c>
      <c r="C32" s="17"/>
      <c r="D32" s="18">
        <f t="shared" si="7"/>
        <v>0</v>
      </c>
      <c r="E32" s="19">
        <f t="shared" si="3"/>
        <v>0</v>
      </c>
      <c r="F32" s="18">
        <f t="shared" si="4"/>
        <v>0</v>
      </c>
      <c r="G32" s="20">
        <f t="shared" si="0"/>
        <v>0</v>
      </c>
      <c r="H32" s="20">
        <f t="shared" si="5"/>
        <v>0</v>
      </c>
      <c r="I32" s="20">
        <f t="shared" si="6"/>
        <v>0</v>
      </c>
      <c r="J32" s="21" t="e">
        <f t="shared" si="1"/>
        <v>#DIV/0!</v>
      </c>
      <c r="K32" s="22" t="e">
        <f t="shared" si="2"/>
        <v>#DIV/0!</v>
      </c>
      <c r="L32" s="15"/>
    </row>
    <row r="33" spans="1:12" x14ac:dyDescent="0.25">
      <c r="A33" s="33" t="str">
        <f>IF(B$4="Gallons","20,001-21,000","2001-2100")</f>
        <v>20,001-21,000</v>
      </c>
      <c r="B33" s="32">
        <v>21</v>
      </c>
      <c r="C33" s="17"/>
      <c r="D33" s="18">
        <f t="shared" si="7"/>
        <v>0</v>
      </c>
      <c r="E33" s="19">
        <f t="shared" si="3"/>
        <v>0</v>
      </c>
      <c r="F33" s="18">
        <f t="shared" si="4"/>
        <v>0</v>
      </c>
      <c r="G33" s="20">
        <f t="shared" si="0"/>
        <v>0</v>
      </c>
      <c r="H33" s="20">
        <f t="shared" si="5"/>
        <v>0</v>
      </c>
      <c r="I33" s="20">
        <f t="shared" si="6"/>
        <v>0</v>
      </c>
      <c r="J33" s="21" t="e">
        <f t="shared" ref="J33:J42" si="9">ROUND(I33/$B$7*100,1)</f>
        <v>#DIV/0!</v>
      </c>
      <c r="K33" s="22" t="e">
        <f t="shared" si="2"/>
        <v>#DIV/0!</v>
      </c>
      <c r="L33" s="15"/>
    </row>
    <row r="34" spans="1:12" x14ac:dyDescent="0.25">
      <c r="A34" s="33" t="str">
        <f>IF(B$4="Gallons","21,001-22,000","2101-2200")</f>
        <v>21,001-22,000</v>
      </c>
      <c r="B34" s="32">
        <v>22</v>
      </c>
      <c r="C34" s="17"/>
      <c r="D34" s="18">
        <f t="shared" si="7"/>
        <v>0</v>
      </c>
      <c r="E34" s="19">
        <f t="shared" si="3"/>
        <v>0</v>
      </c>
      <c r="F34" s="18">
        <f t="shared" si="4"/>
        <v>0</v>
      </c>
      <c r="G34" s="20">
        <f t="shared" si="0"/>
        <v>0</v>
      </c>
      <c r="H34" s="20">
        <f t="shared" si="5"/>
        <v>0</v>
      </c>
      <c r="I34" s="20">
        <f t="shared" si="6"/>
        <v>0</v>
      </c>
      <c r="J34" s="21" t="e">
        <f t="shared" si="9"/>
        <v>#DIV/0!</v>
      </c>
      <c r="K34" s="22" t="e">
        <f t="shared" si="2"/>
        <v>#DIV/0!</v>
      </c>
      <c r="L34" s="15"/>
    </row>
    <row r="35" spans="1:12" x14ac:dyDescent="0.25">
      <c r="A35" s="33" t="str">
        <f>IF(B$4="Gallons","22,001-23,000","2201-2300")</f>
        <v>22,001-23,000</v>
      </c>
      <c r="B35" s="32">
        <v>23</v>
      </c>
      <c r="C35" s="17"/>
      <c r="D35" s="18">
        <f t="shared" si="7"/>
        <v>0</v>
      </c>
      <c r="E35" s="19">
        <f t="shared" si="3"/>
        <v>0</v>
      </c>
      <c r="F35" s="18">
        <f t="shared" si="4"/>
        <v>0</v>
      </c>
      <c r="G35" s="20">
        <f t="shared" si="0"/>
        <v>0</v>
      </c>
      <c r="H35" s="20">
        <f t="shared" si="5"/>
        <v>0</v>
      </c>
      <c r="I35" s="20">
        <f t="shared" si="6"/>
        <v>0</v>
      </c>
      <c r="J35" s="21" t="e">
        <f t="shared" si="9"/>
        <v>#DIV/0!</v>
      </c>
      <c r="K35" s="22" t="e">
        <f t="shared" si="2"/>
        <v>#DIV/0!</v>
      </c>
      <c r="L35" s="15"/>
    </row>
    <row r="36" spans="1:12" x14ac:dyDescent="0.25">
      <c r="A36" s="33" t="str">
        <f>IF(B$4="Gallons","23,001-24,000","2301-2400")</f>
        <v>23,001-24,000</v>
      </c>
      <c r="B36" s="32">
        <v>24</v>
      </c>
      <c r="C36" s="17"/>
      <c r="D36" s="18">
        <f t="shared" si="7"/>
        <v>0</v>
      </c>
      <c r="E36" s="19">
        <f t="shared" si="3"/>
        <v>0</v>
      </c>
      <c r="F36" s="18">
        <f t="shared" si="4"/>
        <v>0</v>
      </c>
      <c r="G36" s="20">
        <f t="shared" si="0"/>
        <v>0</v>
      </c>
      <c r="H36" s="20">
        <f t="shared" si="5"/>
        <v>0</v>
      </c>
      <c r="I36" s="20">
        <f t="shared" si="6"/>
        <v>0</v>
      </c>
      <c r="J36" s="21" t="e">
        <f t="shared" si="9"/>
        <v>#DIV/0!</v>
      </c>
      <c r="K36" s="22" t="e">
        <f t="shared" si="2"/>
        <v>#DIV/0!</v>
      </c>
      <c r="L36" s="15"/>
    </row>
    <row r="37" spans="1:12" x14ac:dyDescent="0.25">
      <c r="A37" s="33" t="str">
        <f>IF(B$4="Gallons","24,001-25,000","2401-2500")</f>
        <v>24,001-25,000</v>
      </c>
      <c r="B37" s="32">
        <v>25</v>
      </c>
      <c r="C37" s="17"/>
      <c r="D37" s="18">
        <f t="shared" si="7"/>
        <v>0</v>
      </c>
      <c r="E37" s="19">
        <f t="shared" si="3"/>
        <v>0</v>
      </c>
      <c r="F37" s="18">
        <f t="shared" si="4"/>
        <v>0</v>
      </c>
      <c r="G37" s="20">
        <f t="shared" si="0"/>
        <v>0</v>
      </c>
      <c r="H37" s="20">
        <f t="shared" si="5"/>
        <v>0</v>
      </c>
      <c r="I37" s="20">
        <f t="shared" si="6"/>
        <v>0</v>
      </c>
      <c r="J37" s="21" t="e">
        <f t="shared" si="9"/>
        <v>#DIV/0!</v>
      </c>
      <c r="K37" s="22" t="e">
        <f t="shared" si="2"/>
        <v>#DIV/0!</v>
      </c>
      <c r="L37" s="15"/>
    </row>
    <row r="38" spans="1:12" x14ac:dyDescent="0.25">
      <c r="A38" s="33" t="str">
        <f>IF(B$4="Gallons","25,001-26,000","2501-2600")</f>
        <v>25,001-26,000</v>
      </c>
      <c r="B38" s="32">
        <v>26</v>
      </c>
      <c r="C38" s="17"/>
      <c r="D38" s="18">
        <f t="shared" si="7"/>
        <v>0</v>
      </c>
      <c r="E38" s="19">
        <f t="shared" si="3"/>
        <v>0</v>
      </c>
      <c r="F38" s="18">
        <f t="shared" si="4"/>
        <v>0</v>
      </c>
      <c r="G38" s="20">
        <f t="shared" si="0"/>
        <v>0</v>
      </c>
      <c r="H38" s="20">
        <f t="shared" si="5"/>
        <v>0</v>
      </c>
      <c r="I38" s="20">
        <f t="shared" si="6"/>
        <v>0</v>
      </c>
      <c r="J38" s="21" t="e">
        <f t="shared" si="9"/>
        <v>#DIV/0!</v>
      </c>
      <c r="K38" s="22" t="e">
        <f t="shared" si="2"/>
        <v>#DIV/0!</v>
      </c>
      <c r="L38" s="15"/>
    </row>
    <row r="39" spans="1:12" x14ac:dyDescent="0.25">
      <c r="A39" s="33" t="str">
        <f>IF(B$4="Gallons","26,001-27,000","2601-2700")</f>
        <v>26,001-27,000</v>
      </c>
      <c r="B39" s="32">
        <v>27</v>
      </c>
      <c r="C39" s="17"/>
      <c r="D39" s="18">
        <f t="shared" si="7"/>
        <v>0</v>
      </c>
      <c r="E39" s="19">
        <f t="shared" si="3"/>
        <v>0</v>
      </c>
      <c r="F39" s="18">
        <f t="shared" si="4"/>
        <v>0</v>
      </c>
      <c r="G39" s="20">
        <f t="shared" si="0"/>
        <v>0</v>
      </c>
      <c r="H39" s="20">
        <f t="shared" si="5"/>
        <v>0</v>
      </c>
      <c r="I39" s="20">
        <f t="shared" si="6"/>
        <v>0</v>
      </c>
      <c r="J39" s="21" t="e">
        <f t="shared" si="9"/>
        <v>#DIV/0!</v>
      </c>
      <c r="K39" s="22" t="e">
        <f t="shared" si="2"/>
        <v>#DIV/0!</v>
      </c>
      <c r="L39" s="15"/>
    </row>
    <row r="40" spans="1:12" x14ac:dyDescent="0.25">
      <c r="A40" s="33" t="str">
        <f>IF(B$4="Gallons","27,001-28,000","2701-2800")</f>
        <v>27,001-28,000</v>
      </c>
      <c r="B40" s="32">
        <v>28</v>
      </c>
      <c r="C40" s="17"/>
      <c r="D40" s="18">
        <f t="shared" si="7"/>
        <v>0</v>
      </c>
      <c r="E40" s="19">
        <f t="shared" si="3"/>
        <v>0</v>
      </c>
      <c r="F40" s="18">
        <f t="shared" si="4"/>
        <v>0</v>
      </c>
      <c r="G40" s="20">
        <f t="shared" si="0"/>
        <v>0</v>
      </c>
      <c r="H40" s="20">
        <f t="shared" si="5"/>
        <v>0</v>
      </c>
      <c r="I40" s="20">
        <f t="shared" si="6"/>
        <v>0</v>
      </c>
      <c r="J40" s="21" t="e">
        <f t="shared" si="9"/>
        <v>#DIV/0!</v>
      </c>
      <c r="K40" s="22" t="e">
        <f t="shared" si="2"/>
        <v>#DIV/0!</v>
      </c>
      <c r="L40" s="15"/>
    </row>
    <row r="41" spans="1:12" x14ac:dyDescent="0.25">
      <c r="A41" s="33" t="str">
        <f>IF(B$4="Gallons","28,001-29,000","2801-2900")</f>
        <v>28,001-29,000</v>
      </c>
      <c r="B41" s="32">
        <v>29</v>
      </c>
      <c r="C41" s="17"/>
      <c r="D41" s="18">
        <f t="shared" si="7"/>
        <v>0</v>
      </c>
      <c r="E41" s="19">
        <f t="shared" si="3"/>
        <v>0</v>
      </c>
      <c r="F41" s="18">
        <f t="shared" si="4"/>
        <v>0</v>
      </c>
      <c r="G41" s="20">
        <f t="shared" si="0"/>
        <v>0</v>
      </c>
      <c r="H41" s="20">
        <f t="shared" si="5"/>
        <v>0</v>
      </c>
      <c r="I41" s="20">
        <f t="shared" si="6"/>
        <v>0</v>
      </c>
      <c r="J41" s="21" t="e">
        <f t="shared" si="9"/>
        <v>#DIV/0!</v>
      </c>
      <c r="K41" s="22" t="e">
        <f t="shared" si="2"/>
        <v>#DIV/0!</v>
      </c>
      <c r="L41" s="15"/>
    </row>
    <row r="42" spans="1:12" x14ac:dyDescent="0.25">
      <c r="A42" s="33" t="str">
        <f>IF(B$4="Gallons","29,001-30,000","2901-3000")</f>
        <v>29,001-30,000</v>
      </c>
      <c r="B42" s="32">
        <v>30</v>
      </c>
      <c r="C42" s="17"/>
      <c r="D42" s="18">
        <f t="shared" si="7"/>
        <v>0</v>
      </c>
      <c r="E42" s="19">
        <f t="shared" si="3"/>
        <v>0</v>
      </c>
      <c r="F42" s="18">
        <f t="shared" si="4"/>
        <v>0</v>
      </c>
      <c r="G42" s="20">
        <f t="shared" si="0"/>
        <v>0</v>
      </c>
      <c r="H42" s="20">
        <f t="shared" si="5"/>
        <v>0</v>
      </c>
      <c r="I42" s="20">
        <f t="shared" si="6"/>
        <v>0</v>
      </c>
      <c r="J42" s="21" t="e">
        <f t="shared" si="9"/>
        <v>#DIV/0!</v>
      </c>
      <c r="K42" s="22" t="e">
        <f t="shared" si="2"/>
        <v>#DIV/0!</v>
      </c>
      <c r="L42" s="15"/>
    </row>
    <row r="43" spans="1:12" x14ac:dyDescent="0.25">
      <c r="A43" s="33" t="str">
        <f>IF(B$4="Gallons","30,001-31,000","3001-3100")</f>
        <v>30,001-31,000</v>
      </c>
      <c r="B43" s="32">
        <v>31</v>
      </c>
      <c r="C43" s="17"/>
      <c r="D43" s="18">
        <f t="shared" si="7"/>
        <v>0</v>
      </c>
      <c r="E43" s="19">
        <f t="shared" si="3"/>
        <v>0</v>
      </c>
      <c r="F43" s="18">
        <f t="shared" si="4"/>
        <v>0</v>
      </c>
      <c r="G43" s="20">
        <f t="shared" ref="G43:G72" si="10">$B$8-D43</f>
        <v>0</v>
      </c>
      <c r="H43" s="20">
        <f t="shared" si="5"/>
        <v>0</v>
      </c>
      <c r="I43" s="20">
        <f t="shared" si="6"/>
        <v>0</v>
      </c>
      <c r="J43" s="21" t="e">
        <f t="shared" ref="J43:J72" si="11">ROUND(I43/$B$7*100,1)</f>
        <v>#DIV/0!</v>
      </c>
      <c r="K43" s="22" t="e">
        <f t="shared" ref="K43:K72" si="12">ROUND(D43/$B$8*100,1)</f>
        <v>#DIV/0!</v>
      </c>
      <c r="L43" s="15"/>
    </row>
    <row r="44" spans="1:12" x14ac:dyDescent="0.25">
      <c r="A44" s="33" t="str">
        <f>IF(B$4="Gallons","31,001-32,000","3101-3200")</f>
        <v>31,001-32,000</v>
      </c>
      <c r="B44" s="32">
        <v>32</v>
      </c>
      <c r="C44" s="17"/>
      <c r="D44" s="18">
        <f t="shared" si="7"/>
        <v>0</v>
      </c>
      <c r="E44" s="19">
        <f t="shared" si="3"/>
        <v>0</v>
      </c>
      <c r="F44" s="18">
        <f t="shared" si="4"/>
        <v>0</v>
      </c>
      <c r="G44" s="20">
        <f t="shared" si="10"/>
        <v>0</v>
      </c>
      <c r="H44" s="20">
        <f t="shared" si="5"/>
        <v>0</v>
      </c>
      <c r="I44" s="20">
        <f t="shared" si="6"/>
        <v>0</v>
      </c>
      <c r="J44" s="21" t="e">
        <f t="shared" si="11"/>
        <v>#DIV/0!</v>
      </c>
      <c r="K44" s="22" t="e">
        <f t="shared" si="12"/>
        <v>#DIV/0!</v>
      </c>
      <c r="L44" s="15"/>
    </row>
    <row r="45" spans="1:12" x14ac:dyDescent="0.25">
      <c r="A45" s="33" t="str">
        <f>IF(B$4="Gallons","32,001-33,000","3201-3300")</f>
        <v>32,001-33,000</v>
      </c>
      <c r="B45" s="32">
        <v>33</v>
      </c>
      <c r="C45" s="17"/>
      <c r="D45" s="18">
        <f t="shared" si="7"/>
        <v>0</v>
      </c>
      <c r="E45" s="19">
        <f t="shared" si="3"/>
        <v>0</v>
      </c>
      <c r="F45" s="18">
        <f t="shared" si="4"/>
        <v>0</v>
      </c>
      <c r="G45" s="20">
        <f t="shared" si="10"/>
        <v>0</v>
      </c>
      <c r="H45" s="20">
        <f t="shared" si="5"/>
        <v>0</v>
      </c>
      <c r="I45" s="20">
        <f t="shared" si="6"/>
        <v>0</v>
      </c>
      <c r="J45" s="21" t="e">
        <f t="shared" si="11"/>
        <v>#DIV/0!</v>
      </c>
      <c r="K45" s="22" t="e">
        <f t="shared" si="12"/>
        <v>#DIV/0!</v>
      </c>
      <c r="L45" s="15"/>
    </row>
    <row r="46" spans="1:12" x14ac:dyDescent="0.25">
      <c r="A46" s="33" t="str">
        <f>IF(B$4="Gallons","33,001-34,000","3301-3400")</f>
        <v>33,001-34,000</v>
      </c>
      <c r="B46" s="32">
        <v>34</v>
      </c>
      <c r="C46" s="17"/>
      <c r="D46" s="18">
        <f t="shared" si="7"/>
        <v>0</v>
      </c>
      <c r="E46" s="19">
        <f t="shared" si="3"/>
        <v>0</v>
      </c>
      <c r="F46" s="18">
        <f t="shared" si="4"/>
        <v>0</v>
      </c>
      <c r="G46" s="20">
        <f t="shared" si="10"/>
        <v>0</v>
      </c>
      <c r="H46" s="20">
        <f t="shared" si="5"/>
        <v>0</v>
      </c>
      <c r="I46" s="20">
        <f t="shared" si="6"/>
        <v>0</v>
      </c>
      <c r="J46" s="21" t="e">
        <f t="shared" si="11"/>
        <v>#DIV/0!</v>
      </c>
      <c r="K46" s="22" t="e">
        <f t="shared" si="12"/>
        <v>#DIV/0!</v>
      </c>
      <c r="L46" s="15"/>
    </row>
    <row r="47" spans="1:12" x14ac:dyDescent="0.25">
      <c r="A47" s="33" t="str">
        <f>IF(B$4="Gallons","34,001-35,000","3401-3500")</f>
        <v>34,001-35,000</v>
      </c>
      <c r="B47" s="32">
        <v>35</v>
      </c>
      <c r="C47" s="17"/>
      <c r="D47" s="18">
        <f t="shared" si="7"/>
        <v>0</v>
      </c>
      <c r="E47" s="19">
        <f t="shared" si="3"/>
        <v>0</v>
      </c>
      <c r="F47" s="18">
        <f t="shared" si="4"/>
        <v>0</v>
      </c>
      <c r="G47" s="20">
        <f t="shared" si="10"/>
        <v>0</v>
      </c>
      <c r="H47" s="20">
        <f t="shared" si="5"/>
        <v>0</v>
      </c>
      <c r="I47" s="20">
        <f t="shared" si="6"/>
        <v>0</v>
      </c>
      <c r="J47" s="21" t="e">
        <f t="shared" si="11"/>
        <v>#DIV/0!</v>
      </c>
      <c r="K47" s="22" t="e">
        <f t="shared" si="12"/>
        <v>#DIV/0!</v>
      </c>
      <c r="L47" s="15"/>
    </row>
    <row r="48" spans="1:12" x14ac:dyDescent="0.25">
      <c r="A48" s="33" t="str">
        <f>IF(B$4="Gallons","35,001-36,000","3501-3600")</f>
        <v>35,001-36,000</v>
      </c>
      <c r="B48" s="32">
        <v>36</v>
      </c>
      <c r="C48" s="17"/>
      <c r="D48" s="18">
        <f t="shared" si="7"/>
        <v>0</v>
      </c>
      <c r="E48" s="19">
        <f t="shared" si="3"/>
        <v>0</v>
      </c>
      <c r="F48" s="18">
        <f t="shared" si="4"/>
        <v>0</v>
      </c>
      <c r="G48" s="20">
        <f t="shared" si="10"/>
        <v>0</v>
      </c>
      <c r="H48" s="20">
        <f t="shared" si="5"/>
        <v>0</v>
      </c>
      <c r="I48" s="20">
        <f t="shared" si="6"/>
        <v>0</v>
      </c>
      <c r="J48" s="21" t="e">
        <f t="shared" si="11"/>
        <v>#DIV/0!</v>
      </c>
      <c r="K48" s="22" t="e">
        <f t="shared" si="12"/>
        <v>#DIV/0!</v>
      </c>
      <c r="L48" s="15"/>
    </row>
    <row r="49" spans="1:12" x14ac:dyDescent="0.25">
      <c r="A49" s="33" t="str">
        <f>IF(B$4="Gallons","36,001-37,000","3601-3700")</f>
        <v>36,001-37,000</v>
      </c>
      <c r="B49" s="32">
        <v>37</v>
      </c>
      <c r="C49" s="17"/>
      <c r="D49" s="18">
        <f t="shared" si="7"/>
        <v>0</v>
      </c>
      <c r="E49" s="19">
        <f t="shared" si="3"/>
        <v>0</v>
      </c>
      <c r="F49" s="18">
        <f t="shared" si="4"/>
        <v>0</v>
      </c>
      <c r="G49" s="20">
        <f t="shared" si="10"/>
        <v>0</v>
      </c>
      <c r="H49" s="20">
        <f t="shared" si="5"/>
        <v>0</v>
      </c>
      <c r="I49" s="20">
        <f t="shared" si="6"/>
        <v>0</v>
      </c>
      <c r="J49" s="21" t="e">
        <f t="shared" si="11"/>
        <v>#DIV/0!</v>
      </c>
      <c r="K49" s="22" t="e">
        <f t="shared" si="12"/>
        <v>#DIV/0!</v>
      </c>
      <c r="L49" s="15"/>
    </row>
    <row r="50" spans="1:12" x14ac:dyDescent="0.25">
      <c r="A50" s="33" t="str">
        <f>IF(B$4="Gallons","37,001-38,000","3701-3800")</f>
        <v>37,001-38,000</v>
      </c>
      <c r="B50" s="32">
        <v>38</v>
      </c>
      <c r="C50" s="17"/>
      <c r="D50" s="18">
        <f t="shared" si="7"/>
        <v>0</v>
      </c>
      <c r="E50" s="19">
        <f t="shared" si="3"/>
        <v>0</v>
      </c>
      <c r="F50" s="18">
        <f t="shared" si="4"/>
        <v>0</v>
      </c>
      <c r="G50" s="20">
        <f t="shared" si="10"/>
        <v>0</v>
      </c>
      <c r="H50" s="20">
        <f t="shared" si="5"/>
        <v>0</v>
      </c>
      <c r="I50" s="20">
        <f t="shared" si="6"/>
        <v>0</v>
      </c>
      <c r="J50" s="21" t="e">
        <f t="shared" si="11"/>
        <v>#DIV/0!</v>
      </c>
      <c r="K50" s="22" t="e">
        <f t="shared" si="12"/>
        <v>#DIV/0!</v>
      </c>
      <c r="L50" s="15"/>
    </row>
    <row r="51" spans="1:12" x14ac:dyDescent="0.25">
      <c r="A51" s="33" t="str">
        <f>IF(B$4="Gallons","38,001-39,000","3801-3900")</f>
        <v>38,001-39,000</v>
      </c>
      <c r="B51" s="32">
        <v>39</v>
      </c>
      <c r="C51" s="17"/>
      <c r="D51" s="18">
        <f t="shared" si="7"/>
        <v>0</v>
      </c>
      <c r="E51" s="19">
        <f t="shared" si="3"/>
        <v>0</v>
      </c>
      <c r="F51" s="18">
        <f t="shared" si="4"/>
        <v>0</v>
      </c>
      <c r="G51" s="20">
        <f t="shared" si="10"/>
        <v>0</v>
      </c>
      <c r="H51" s="20">
        <f t="shared" si="5"/>
        <v>0</v>
      </c>
      <c r="I51" s="20">
        <f t="shared" si="6"/>
        <v>0</v>
      </c>
      <c r="J51" s="21" t="e">
        <f t="shared" si="11"/>
        <v>#DIV/0!</v>
      </c>
      <c r="K51" s="22" t="e">
        <f t="shared" si="12"/>
        <v>#DIV/0!</v>
      </c>
      <c r="L51" s="15"/>
    </row>
    <row r="52" spans="1:12" x14ac:dyDescent="0.25">
      <c r="A52" s="33" t="str">
        <f>IF(B$4="Gallons","39,001-40,000","3901-4000")</f>
        <v>39,001-40,000</v>
      </c>
      <c r="B52" s="32">
        <v>40</v>
      </c>
      <c r="C52" s="17"/>
      <c r="D52" s="18">
        <f t="shared" si="7"/>
        <v>0</v>
      </c>
      <c r="E52" s="19">
        <f t="shared" si="3"/>
        <v>0</v>
      </c>
      <c r="F52" s="18">
        <f t="shared" si="4"/>
        <v>0</v>
      </c>
      <c r="G52" s="20">
        <f t="shared" si="10"/>
        <v>0</v>
      </c>
      <c r="H52" s="20">
        <f t="shared" si="5"/>
        <v>0</v>
      </c>
      <c r="I52" s="20">
        <f t="shared" si="6"/>
        <v>0</v>
      </c>
      <c r="J52" s="21" t="e">
        <f t="shared" si="11"/>
        <v>#DIV/0!</v>
      </c>
      <c r="K52" s="22" t="e">
        <f t="shared" si="12"/>
        <v>#DIV/0!</v>
      </c>
      <c r="L52" s="15"/>
    </row>
    <row r="53" spans="1:12" x14ac:dyDescent="0.25">
      <c r="A53" s="33" t="str">
        <f>IF(B$4="Gallons","40,001-41,000","4001-4100")</f>
        <v>40,001-41,000</v>
      </c>
      <c r="B53" s="32">
        <v>41</v>
      </c>
      <c r="C53" s="17"/>
      <c r="D53" s="18">
        <f t="shared" si="7"/>
        <v>0</v>
      </c>
      <c r="E53" s="19">
        <f t="shared" si="3"/>
        <v>0</v>
      </c>
      <c r="F53" s="18">
        <f t="shared" si="4"/>
        <v>0</v>
      </c>
      <c r="G53" s="20">
        <f t="shared" si="10"/>
        <v>0</v>
      </c>
      <c r="H53" s="20">
        <f t="shared" si="5"/>
        <v>0</v>
      </c>
      <c r="I53" s="20">
        <f t="shared" si="6"/>
        <v>0</v>
      </c>
      <c r="J53" s="21" t="e">
        <f t="shared" si="11"/>
        <v>#DIV/0!</v>
      </c>
      <c r="K53" s="22" t="e">
        <f t="shared" si="12"/>
        <v>#DIV/0!</v>
      </c>
      <c r="L53" s="15"/>
    </row>
    <row r="54" spans="1:12" x14ac:dyDescent="0.25">
      <c r="A54" s="33" t="str">
        <f>IF(B$4="Gallons","41,001-42,000","4101-4200")</f>
        <v>41,001-42,000</v>
      </c>
      <c r="B54" s="32">
        <v>42</v>
      </c>
      <c r="C54" s="17"/>
      <c r="D54" s="18">
        <f t="shared" si="7"/>
        <v>0</v>
      </c>
      <c r="E54" s="19">
        <f t="shared" si="3"/>
        <v>0</v>
      </c>
      <c r="F54" s="18">
        <f t="shared" si="4"/>
        <v>0</v>
      </c>
      <c r="G54" s="20">
        <f t="shared" si="10"/>
        <v>0</v>
      </c>
      <c r="H54" s="20">
        <f t="shared" si="5"/>
        <v>0</v>
      </c>
      <c r="I54" s="20">
        <f t="shared" si="6"/>
        <v>0</v>
      </c>
      <c r="J54" s="21" t="e">
        <f t="shared" si="11"/>
        <v>#DIV/0!</v>
      </c>
      <c r="K54" s="22" t="e">
        <f t="shared" si="12"/>
        <v>#DIV/0!</v>
      </c>
      <c r="L54" s="15"/>
    </row>
    <row r="55" spans="1:12" x14ac:dyDescent="0.25">
      <c r="A55" s="33" t="str">
        <f>IF(B$4="Gallons","42,001-43,000","4201-4300")</f>
        <v>42,001-43,000</v>
      </c>
      <c r="B55" s="32">
        <v>43</v>
      </c>
      <c r="C55" s="17"/>
      <c r="D55" s="18">
        <f t="shared" si="7"/>
        <v>0</v>
      </c>
      <c r="E55" s="19">
        <f t="shared" si="3"/>
        <v>0</v>
      </c>
      <c r="F55" s="18">
        <f t="shared" si="4"/>
        <v>0</v>
      </c>
      <c r="G55" s="20">
        <f t="shared" si="10"/>
        <v>0</v>
      </c>
      <c r="H55" s="20">
        <f t="shared" si="5"/>
        <v>0</v>
      </c>
      <c r="I55" s="20">
        <f t="shared" si="6"/>
        <v>0</v>
      </c>
      <c r="J55" s="21" t="e">
        <f t="shared" si="11"/>
        <v>#DIV/0!</v>
      </c>
      <c r="K55" s="22" t="e">
        <f t="shared" si="12"/>
        <v>#DIV/0!</v>
      </c>
      <c r="L55" s="15"/>
    </row>
    <row r="56" spans="1:12" x14ac:dyDescent="0.25">
      <c r="A56" s="33" t="str">
        <f>IF(B$4="Gallons","43,001-44,000","4301-4400")</f>
        <v>43,001-44,000</v>
      </c>
      <c r="B56" s="32">
        <v>44</v>
      </c>
      <c r="C56" s="17"/>
      <c r="D56" s="18">
        <f t="shared" si="7"/>
        <v>0</v>
      </c>
      <c r="E56" s="19">
        <f t="shared" si="3"/>
        <v>0</v>
      </c>
      <c r="F56" s="18">
        <f t="shared" si="4"/>
        <v>0</v>
      </c>
      <c r="G56" s="20">
        <f t="shared" si="10"/>
        <v>0</v>
      </c>
      <c r="H56" s="20">
        <f t="shared" si="5"/>
        <v>0</v>
      </c>
      <c r="I56" s="20">
        <f t="shared" si="6"/>
        <v>0</v>
      </c>
      <c r="J56" s="21" t="e">
        <f t="shared" si="11"/>
        <v>#DIV/0!</v>
      </c>
      <c r="K56" s="22" t="e">
        <f t="shared" si="12"/>
        <v>#DIV/0!</v>
      </c>
      <c r="L56" s="15"/>
    </row>
    <row r="57" spans="1:12" x14ac:dyDescent="0.25">
      <c r="A57" s="33" t="str">
        <f>IF(B$4="Gallons","44,001-45,000","4401-4500")</f>
        <v>44,001-45,000</v>
      </c>
      <c r="B57" s="32">
        <v>45</v>
      </c>
      <c r="C57" s="17"/>
      <c r="D57" s="18">
        <f t="shared" si="7"/>
        <v>0</v>
      </c>
      <c r="E57" s="19">
        <f t="shared" si="3"/>
        <v>0</v>
      </c>
      <c r="F57" s="18">
        <f t="shared" si="4"/>
        <v>0</v>
      </c>
      <c r="G57" s="20">
        <f t="shared" si="10"/>
        <v>0</v>
      </c>
      <c r="H57" s="20">
        <f t="shared" si="5"/>
        <v>0</v>
      </c>
      <c r="I57" s="20">
        <f t="shared" si="6"/>
        <v>0</v>
      </c>
      <c r="J57" s="21" t="e">
        <f t="shared" si="11"/>
        <v>#DIV/0!</v>
      </c>
      <c r="K57" s="22" t="e">
        <f t="shared" si="12"/>
        <v>#DIV/0!</v>
      </c>
      <c r="L57" s="15"/>
    </row>
    <row r="58" spans="1:12" x14ac:dyDescent="0.25">
      <c r="A58" s="33" t="str">
        <f>IF(B$4="Gallons","45,001-46,000","4501-4600")</f>
        <v>45,001-46,000</v>
      </c>
      <c r="B58" s="32">
        <v>46</v>
      </c>
      <c r="C58" s="17"/>
      <c r="D58" s="18">
        <f t="shared" si="7"/>
        <v>0</v>
      </c>
      <c r="E58" s="19">
        <f t="shared" si="3"/>
        <v>0</v>
      </c>
      <c r="F58" s="18">
        <f t="shared" si="4"/>
        <v>0</v>
      </c>
      <c r="G58" s="20">
        <f t="shared" si="10"/>
        <v>0</v>
      </c>
      <c r="H58" s="20">
        <f t="shared" si="5"/>
        <v>0</v>
      </c>
      <c r="I58" s="20">
        <f t="shared" si="6"/>
        <v>0</v>
      </c>
      <c r="J58" s="21" t="e">
        <f t="shared" si="11"/>
        <v>#DIV/0!</v>
      </c>
      <c r="K58" s="22" t="e">
        <f t="shared" si="12"/>
        <v>#DIV/0!</v>
      </c>
      <c r="L58" s="15"/>
    </row>
    <row r="59" spans="1:12" x14ac:dyDescent="0.25">
      <c r="A59" s="33" t="str">
        <f>IF(B$4="Gallons","46,001-47,000","4601-4700")</f>
        <v>46,001-47,000</v>
      </c>
      <c r="B59" s="32">
        <v>47</v>
      </c>
      <c r="C59" s="17"/>
      <c r="D59" s="18">
        <f t="shared" si="7"/>
        <v>0</v>
      </c>
      <c r="E59" s="19">
        <f t="shared" si="3"/>
        <v>0</v>
      </c>
      <c r="F59" s="18">
        <f t="shared" si="4"/>
        <v>0</v>
      </c>
      <c r="G59" s="20">
        <f t="shared" si="10"/>
        <v>0</v>
      </c>
      <c r="H59" s="20">
        <f t="shared" si="5"/>
        <v>0</v>
      </c>
      <c r="I59" s="20">
        <f t="shared" si="6"/>
        <v>0</v>
      </c>
      <c r="J59" s="21" t="e">
        <f t="shared" si="11"/>
        <v>#DIV/0!</v>
      </c>
      <c r="K59" s="22" t="e">
        <f t="shared" si="12"/>
        <v>#DIV/0!</v>
      </c>
      <c r="L59" s="15"/>
    </row>
    <row r="60" spans="1:12" x14ac:dyDescent="0.25">
      <c r="A60" s="33" t="str">
        <f>IF(B$4="Gallons","47,001-48,000","4701-4800")</f>
        <v>47,001-48,000</v>
      </c>
      <c r="B60" s="32">
        <v>48</v>
      </c>
      <c r="C60" s="17"/>
      <c r="D60" s="18">
        <f t="shared" si="7"/>
        <v>0</v>
      </c>
      <c r="E60" s="19">
        <f t="shared" si="3"/>
        <v>0</v>
      </c>
      <c r="F60" s="18">
        <f t="shared" si="4"/>
        <v>0</v>
      </c>
      <c r="G60" s="20">
        <f t="shared" si="10"/>
        <v>0</v>
      </c>
      <c r="H60" s="20">
        <f t="shared" si="5"/>
        <v>0</v>
      </c>
      <c r="I60" s="20">
        <f t="shared" si="6"/>
        <v>0</v>
      </c>
      <c r="J60" s="21" t="e">
        <f t="shared" si="11"/>
        <v>#DIV/0!</v>
      </c>
      <c r="K60" s="22" t="e">
        <f t="shared" si="12"/>
        <v>#DIV/0!</v>
      </c>
      <c r="L60" s="15"/>
    </row>
    <row r="61" spans="1:12" x14ac:dyDescent="0.25">
      <c r="A61" s="33" t="str">
        <f>IF(B$4="Gallons","48,001-49,000","4801-4900")</f>
        <v>48,001-49,000</v>
      </c>
      <c r="B61" s="32">
        <v>49</v>
      </c>
      <c r="C61" s="17"/>
      <c r="D61" s="18">
        <f t="shared" si="7"/>
        <v>0</v>
      </c>
      <c r="E61" s="19">
        <f t="shared" si="3"/>
        <v>0</v>
      </c>
      <c r="F61" s="18">
        <f t="shared" si="4"/>
        <v>0</v>
      </c>
      <c r="G61" s="20">
        <f t="shared" si="10"/>
        <v>0</v>
      </c>
      <c r="H61" s="20">
        <f t="shared" si="5"/>
        <v>0</v>
      </c>
      <c r="I61" s="20">
        <f t="shared" si="6"/>
        <v>0</v>
      </c>
      <c r="J61" s="21" t="e">
        <f t="shared" si="11"/>
        <v>#DIV/0!</v>
      </c>
      <c r="K61" s="22" t="e">
        <f t="shared" si="12"/>
        <v>#DIV/0!</v>
      </c>
      <c r="L61" s="15"/>
    </row>
    <row r="62" spans="1:12" x14ac:dyDescent="0.25">
      <c r="A62" s="33" t="str">
        <f>IF(B$4="Gallons","49,001-50,000","4901-5000")</f>
        <v>49,001-50,000</v>
      </c>
      <c r="B62" s="32">
        <v>50</v>
      </c>
      <c r="C62" s="17"/>
      <c r="D62" s="18">
        <f t="shared" si="7"/>
        <v>0</v>
      </c>
      <c r="E62" s="19">
        <f t="shared" si="3"/>
        <v>0</v>
      </c>
      <c r="F62" s="18">
        <f t="shared" si="4"/>
        <v>0</v>
      </c>
      <c r="G62" s="20">
        <f t="shared" si="10"/>
        <v>0</v>
      </c>
      <c r="H62" s="20">
        <f t="shared" si="5"/>
        <v>0</v>
      </c>
      <c r="I62" s="20">
        <f t="shared" si="6"/>
        <v>0</v>
      </c>
      <c r="J62" s="21" t="e">
        <f t="shared" si="11"/>
        <v>#DIV/0!</v>
      </c>
      <c r="K62" s="22" t="e">
        <f t="shared" si="12"/>
        <v>#DIV/0!</v>
      </c>
      <c r="L62" s="15"/>
    </row>
    <row r="63" spans="1:12" x14ac:dyDescent="0.25">
      <c r="A63" s="33" t="str">
        <f>IF(B$4="Gallons","50,001-55,000","5001-5500")</f>
        <v>50,001-55,000</v>
      </c>
      <c r="B63" s="32">
        <v>55</v>
      </c>
      <c r="C63" s="17"/>
      <c r="D63" s="18">
        <f t="shared" si="7"/>
        <v>0</v>
      </c>
      <c r="E63" s="19">
        <f t="shared" si="3"/>
        <v>0</v>
      </c>
      <c r="F63" s="18">
        <f t="shared" si="4"/>
        <v>0</v>
      </c>
      <c r="G63" s="20">
        <f t="shared" si="10"/>
        <v>0</v>
      </c>
      <c r="H63" s="20">
        <f t="shared" si="5"/>
        <v>0</v>
      </c>
      <c r="I63" s="20">
        <f t="shared" si="6"/>
        <v>0</v>
      </c>
      <c r="J63" s="21" t="e">
        <f t="shared" si="11"/>
        <v>#DIV/0!</v>
      </c>
      <c r="K63" s="22" t="e">
        <f t="shared" si="12"/>
        <v>#DIV/0!</v>
      </c>
      <c r="L63" s="15"/>
    </row>
    <row r="64" spans="1:12" x14ac:dyDescent="0.25">
      <c r="A64" s="33" t="str">
        <f>IF(B$4="Gallons","55,001-60,000","5501-6000")</f>
        <v>55,001-60,000</v>
      </c>
      <c r="B64" s="32">
        <v>60</v>
      </c>
      <c r="C64" s="17"/>
      <c r="D64" s="18">
        <f t="shared" si="7"/>
        <v>0</v>
      </c>
      <c r="E64" s="19">
        <f t="shared" si="3"/>
        <v>0</v>
      </c>
      <c r="F64" s="18">
        <f t="shared" si="4"/>
        <v>0</v>
      </c>
      <c r="G64" s="20">
        <f t="shared" si="10"/>
        <v>0</v>
      </c>
      <c r="H64" s="20">
        <f t="shared" si="5"/>
        <v>0</v>
      </c>
      <c r="I64" s="20">
        <f t="shared" si="6"/>
        <v>0</v>
      </c>
      <c r="J64" s="21" t="e">
        <f t="shared" si="11"/>
        <v>#DIV/0!</v>
      </c>
      <c r="K64" s="22" t="e">
        <f t="shared" si="12"/>
        <v>#DIV/0!</v>
      </c>
      <c r="L64" s="15"/>
    </row>
    <row r="65" spans="1:12" x14ac:dyDescent="0.25">
      <c r="A65" s="33" t="str">
        <f>IF(B$4="Gallons","60,001-65,000","6001-6500")</f>
        <v>60,001-65,000</v>
      </c>
      <c r="B65" s="32">
        <v>65</v>
      </c>
      <c r="C65" s="17"/>
      <c r="D65" s="18">
        <f t="shared" si="7"/>
        <v>0</v>
      </c>
      <c r="E65" s="19">
        <f t="shared" si="3"/>
        <v>0</v>
      </c>
      <c r="F65" s="18">
        <f t="shared" si="4"/>
        <v>0</v>
      </c>
      <c r="G65" s="20">
        <f t="shared" si="10"/>
        <v>0</v>
      </c>
      <c r="H65" s="20">
        <f t="shared" si="5"/>
        <v>0</v>
      </c>
      <c r="I65" s="20">
        <f t="shared" si="6"/>
        <v>0</v>
      </c>
      <c r="J65" s="21" t="e">
        <f t="shared" si="11"/>
        <v>#DIV/0!</v>
      </c>
      <c r="K65" s="22" t="e">
        <f t="shared" si="12"/>
        <v>#DIV/0!</v>
      </c>
      <c r="L65" s="15"/>
    </row>
    <row r="66" spans="1:12" x14ac:dyDescent="0.25">
      <c r="A66" s="33" t="str">
        <f>IF(B$4="Gallons","65,001-70,000","6501-7000")</f>
        <v>65,001-70,000</v>
      </c>
      <c r="B66" s="32">
        <v>70</v>
      </c>
      <c r="C66" s="17"/>
      <c r="D66" s="18">
        <f t="shared" si="7"/>
        <v>0</v>
      </c>
      <c r="E66" s="19">
        <f t="shared" si="3"/>
        <v>0</v>
      </c>
      <c r="F66" s="18">
        <f t="shared" si="4"/>
        <v>0</v>
      </c>
      <c r="G66" s="20">
        <f t="shared" si="10"/>
        <v>0</v>
      </c>
      <c r="H66" s="20">
        <f t="shared" si="5"/>
        <v>0</v>
      </c>
      <c r="I66" s="20">
        <f t="shared" si="6"/>
        <v>0</v>
      </c>
      <c r="J66" s="21" t="e">
        <f t="shared" si="11"/>
        <v>#DIV/0!</v>
      </c>
      <c r="K66" s="22" t="e">
        <f t="shared" si="12"/>
        <v>#DIV/0!</v>
      </c>
      <c r="L66" s="15"/>
    </row>
    <row r="67" spans="1:12" x14ac:dyDescent="0.25">
      <c r="A67" s="33" t="str">
        <f>IF(B$4="Gallons","70,001-75,000","7001-7500")</f>
        <v>70,001-75,000</v>
      </c>
      <c r="B67" s="32">
        <v>75</v>
      </c>
      <c r="C67" s="17"/>
      <c r="D67" s="18">
        <f t="shared" si="7"/>
        <v>0</v>
      </c>
      <c r="E67" s="19">
        <f t="shared" si="3"/>
        <v>0</v>
      </c>
      <c r="F67" s="18">
        <f t="shared" si="4"/>
        <v>0</v>
      </c>
      <c r="G67" s="20">
        <f t="shared" si="10"/>
        <v>0</v>
      </c>
      <c r="H67" s="20">
        <f t="shared" si="5"/>
        <v>0</v>
      </c>
      <c r="I67" s="20">
        <f t="shared" si="6"/>
        <v>0</v>
      </c>
      <c r="J67" s="21" t="e">
        <f t="shared" si="11"/>
        <v>#DIV/0!</v>
      </c>
      <c r="K67" s="22" t="e">
        <f t="shared" si="12"/>
        <v>#DIV/0!</v>
      </c>
      <c r="L67" s="15"/>
    </row>
    <row r="68" spans="1:12" x14ac:dyDescent="0.25">
      <c r="A68" s="33" t="str">
        <f>IF(B$4="Gallons","75,001-80,000","7501-8000")</f>
        <v>75,001-80,000</v>
      </c>
      <c r="B68" s="32">
        <v>80</v>
      </c>
      <c r="C68" s="17"/>
      <c r="D68" s="18">
        <f t="shared" si="7"/>
        <v>0</v>
      </c>
      <c r="E68" s="19">
        <f t="shared" si="3"/>
        <v>0</v>
      </c>
      <c r="F68" s="18">
        <f t="shared" si="4"/>
        <v>0</v>
      </c>
      <c r="G68" s="20">
        <f t="shared" si="10"/>
        <v>0</v>
      </c>
      <c r="H68" s="20">
        <f t="shared" si="5"/>
        <v>0</v>
      </c>
      <c r="I68" s="20">
        <f t="shared" si="6"/>
        <v>0</v>
      </c>
      <c r="J68" s="21" t="e">
        <f t="shared" si="11"/>
        <v>#DIV/0!</v>
      </c>
      <c r="K68" s="22" t="e">
        <f t="shared" si="12"/>
        <v>#DIV/0!</v>
      </c>
      <c r="L68" s="15"/>
    </row>
    <row r="69" spans="1:12" x14ac:dyDescent="0.25">
      <c r="A69" s="33" t="str">
        <f>IF(B$4="Gallons","80,001-85,000","8001-8500")</f>
        <v>80,001-85,000</v>
      </c>
      <c r="B69" s="32">
        <v>85</v>
      </c>
      <c r="C69" s="17"/>
      <c r="D69" s="18">
        <f t="shared" si="7"/>
        <v>0</v>
      </c>
      <c r="E69" s="19">
        <f t="shared" si="3"/>
        <v>0</v>
      </c>
      <c r="F69" s="18">
        <f t="shared" si="4"/>
        <v>0</v>
      </c>
      <c r="G69" s="20">
        <f t="shared" si="10"/>
        <v>0</v>
      </c>
      <c r="H69" s="20">
        <f t="shared" si="5"/>
        <v>0</v>
      </c>
      <c r="I69" s="20">
        <f t="shared" si="6"/>
        <v>0</v>
      </c>
      <c r="J69" s="21" t="e">
        <f t="shared" si="11"/>
        <v>#DIV/0!</v>
      </c>
      <c r="K69" s="22" t="e">
        <f t="shared" si="12"/>
        <v>#DIV/0!</v>
      </c>
      <c r="L69" s="15"/>
    </row>
    <row r="70" spans="1:12" x14ac:dyDescent="0.25">
      <c r="A70" s="33" t="str">
        <f>IF(B$4="Gallons","85,001-90,000","8501-9000")</f>
        <v>85,001-90,000</v>
      </c>
      <c r="B70" s="32">
        <v>90</v>
      </c>
      <c r="C70" s="17"/>
      <c r="D70" s="18">
        <f t="shared" si="7"/>
        <v>0</v>
      </c>
      <c r="E70" s="19">
        <f t="shared" si="3"/>
        <v>0</v>
      </c>
      <c r="F70" s="18">
        <f t="shared" si="4"/>
        <v>0</v>
      </c>
      <c r="G70" s="20">
        <f t="shared" si="10"/>
        <v>0</v>
      </c>
      <c r="H70" s="20">
        <f t="shared" si="5"/>
        <v>0</v>
      </c>
      <c r="I70" s="20">
        <f t="shared" si="6"/>
        <v>0</v>
      </c>
      <c r="J70" s="21" t="e">
        <f t="shared" si="11"/>
        <v>#DIV/0!</v>
      </c>
      <c r="K70" s="22" t="e">
        <f t="shared" si="12"/>
        <v>#DIV/0!</v>
      </c>
      <c r="L70" s="15"/>
    </row>
    <row r="71" spans="1:12" x14ac:dyDescent="0.25">
      <c r="A71" s="33" t="str">
        <f>IF(B$4="Gallons","90,001-95,000","9001-9500")</f>
        <v>90,001-95,000</v>
      </c>
      <c r="B71" s="32">
        <v>95</v>
      </c>
      <c r="C71" s="17"/>
      <c r="D71" s="18">
        <f t="shared" si="7"/>
        <v>0</v>
      </c>
      <c r="E71" s="19">
        <f t="shared" si="3"/>
        <v>0</v>
      </c>
      <c r="F71" s="18">
        <f t="shared" si="4"/>
        <v>0</v>
      </c>
      <c r="G71" s="20">
        <f t="shared" si="10"/>
        <v>0</v>
      </c>
      <c r="H71" s="20">
        <f t="shared" si="5"/>
        <v>0</v>
      </c>
      <c r="I71" s="20">
        <f t="shared" si="6"/>
        <v>0</v>
      </c>
      <c r="J71" s="21" t="e">
        <f t="shared" si="11"/>
        <v>#DIV/0!</v>
      </c>
      <c r="K71" s="22" t="e">
        <f t="shared" si="12"/>
        <v>#DIV/0!</v>
      </c>
      <c r="L71" s="15"/>
    </row>
    <row r="72" spans="1:12" x14ac:dyDescent="0.25">
      <c r="A72" s="33" t="str">
        <f>IF(B$4="Gallons","95,001-100,000","9501-10000")</f>
        <v>95,001-100,000</v>
      </c>
      <c r="B72" s="32">
        <v>100</v>
      </c>
      <c r="C72" s="17"/>
      <c r="D72" s="18">
        <f t="shared" si="7"/>
        <v>0</v>
      </c>
      <c r="E72" s="19">
        <f t="shared" si="3"/>
        <v>0</v>
      </c>
      <c r="F72" s="18">
        <f t="shared" si="4"/>
        <v>0</v>
      </c>
      <c r="G72" s="20">
        <f t="shared" si="10"/>
        <v>0</v>
      </c>
      <c r="H72" s="20">
        <f t="shared" si="5"/>
        <v>0</v>
      </c>
      <c r="I72" s="20">
        <f t="shared" si="6"/>
        <v>0</v>
      </c>
      <c r="J72" s="21" t="e">
        <f t="shared" si="11"/>
        <v>#DIV/0!</v>
      </c>
      <c r="K72" s="22" t="e">
        <f t="shared" si="12"/>
        <v>#DIV/0!</v>
      </c>
      <c r="L72" s="15"/>
    </row>
    <row r="73" spans="1:12" x14ac:dyDescent="0.25">
      <c r="A73" s="34" t="s">
        <v>8</v>
      </c>
      <c r="B73" s="35" t="s">
        <v>18</v>
      </c>
      <c r="C73" s="24">
        <f>B8-D72</f>
        <v>0</v>
      </c>
      <c r="D73" s="23">
        <f t="shared" si="7"/>
        <v>0</v>
      </c>
      <c r="E73" s="24">
        <f>B7-F72</f>
        <v>0</v>
      </c>
      <c r="F73" s="23">
        <f t="shared" si="4"/>
        <v>0</v>
      </c>
      <c r="G73" s="25">
        <f t="shared" ref="G73" si="13">$B$8-D73</f>
        <v>0</v>
      </c>
      <c r="H73" s="25">
        <v>0</v>
      </c>
      <c r="I73" s="25">
        <f t="shared" si="6"/>
        <v>0</v>
      </c>
      <c r="J73" s="26" t="e">
        <f t="shared" ref="J73" si="14">ROUND(I73/$B$7*100,1)</f>
        <v>#DIV/0!</v>
      </c>
      <c r="K73" s="27" t="e">
        <f t="shared" ref="K73" si="15">ROUND(D73/$B$8*100,1)</f>
        <v>#DIV/0!</v>
      </c>
      <c r="L73" s="15"/>
    </row>
    <row r="74" spans="1:12" x14ac:dyDescent="0.25">
      <c r="C74" s="9"/>
      <c r="D74" s="9"/>
    </row>
    <row r="76" spans="1:12" x14ac:dyDescent="0.25">
      <c r="A76" s="1" t="s">
        <v>25</v>
      </c>
    </row>
    <row r="78" spans="1:12" x14ac:dyDescent="0.25">
      <c r="A78" s="11" t="s">
        <v>5</v>
      </c>
      <c r="B78" s="1" t="s">
        <v>6</v>
      </c>
    </row>
    <row r="79" spans="1:12" x14ac:dyDescent="0.25">
      <c r="A79" s="3">
        <v>1</v>
      </c>
      <c r="B79" t="s">
        <v>40</v>
      </c>
    </row>
    <row r="80" spans="1:12" x14ac:dyDescent="0.25">
      <c r="A80" s="3">
        <v>2</v>
      </c>
      <c r="B80" t="s">
        <v>10</v>
      </c>
    </row>
    <row r="81" spans="1:2" x14ac:dyDescent="0.25">
      <c r="A81" s="3">
        <v>3</v>
      </c>
      <c r="B81" t="s">
        <v>13</v>
      </c>
    </row>
    <row r="82" spans="1:2" x14ac:dyDescent="0.25">
      <c r="A82" s="3">
        <v>4</v>
      </c>
      <c r="B82" t="s">
        <v>41</v>
      </c>
    </row>
    <row r="83" spans="1:2" x14ac:dyDescent="0.25">
      <c r="A83" s="3">
        <v>5</v>
      </c>
      <c r="B83" t="s">
        <v>14</v>
      </c>
    </row>
    <row r="84" spans="1:2" x14ac:dyDescent="0.25">
      <c r="A84" s="3">
        <v>6</v>
      </c>
      <c r="B84" t="s">
        <v>24</v>
      </c>
    </row>
    <row r="85" spans="1:2" x14ac:dyDescent="0.25">
      <c r="A85" s="3">
        <v>7</v>
      </c>
      <c r="B85" t="s">
        <v>16</v>
      </c>
    </row>
    <row r="86" spans="1:2" x14ac:dyDescent="0.25">
      <c r="A86" s="3">
        <v>8</v>
      </c>
      <c r="B86" t="s">
        <v>17</v>
      </c>
    </row>
    <row r="87" spans="1:2" x14ac:dyDescent="0.25">
      <c r="A87" s="3"/>
      <c r="B87" s="12" t="s">
        <v>28</v>
      </c>
    </row>
    <row r="88" spans="1:2" x14ac:dyDescent="0.25">
      <c r="A88" s="3">
        <v>9</v>
      </c>
      <c r="B88" t="s">
        <v>20</v>
      </c>
    </row>
    <row r="89" spans="1:2" x14ac:dyDescent="0.25">
      <c r="A89" s="3">
        <v>10</v>
      </c>
      <c r="B89" t="s">
        <v>21</v>
      </c>
    </row>
    <row r="150" spans="3:4" x14ac:dyDescent="0.25">
      <c r="C150" t="s">
        <v>33</v>
      </c>
    </row>
    <row r="152" spans="3:4" x14ac:dyDescent="0.25">
      <c r="C152" t="s">
        <v>31</v>
      </c>
      <c r="D152" t="s">
        <v>34</v>
      </c>
    </row>
    <row r="153" spans="3:4" x14ac:dyDescent="0.25">
      <c r="C153" t="s">
        <v>32</v>
      </c>
      <c r="D153" t="s">
        <v>35</v>
      </c>
    </row>
    <row r="154" spans="3:4" x14ac:dyDescent="0.25">
      <c r="D154" t="s">
        <v>36</v>
      </c>
    </row>
    <row r="155" spans="3:4" x14ac:dyDescent="0.25">
      <c r="D155" t="s">
        <v>37</v>
      </c>
    </row>
  </sheetData>
  <sheetProtection sheet="1" objects="1" scenarios="1"/>
  <mergeCells count="5">
    <mergeCell ref="B7:C7"/>
    <mergeCell ref="B8:C8"/>
    <mergeCell ref="B3:E3"/>
    <mergeCell ref="B4:E4"/>
    <mergeCell ref="B5:E5"/>
  </mergeCells>
  <dataValidations xWindow="180" yWindow="290" count="2">
    <dataValidation type="list" allowBlank="1" showInputMessage="1" showErrorMessage="1" promptTitle="Select Units" prompt="Choose the units the utility uses for billing" sqref="B4:E4">
      <formula1>Units</formula1>
    </dataValidation>
    <dataValidation type="list" allowBlank="1" showInputMessage="1" showErrorMessage="1" promptTitle="Billing Frequency" prompt="Enter the billing frequency for this utility" sqref="B5">
      <formula1>$D$152:$D$154</formula1>
    </dataValidation>
  </dataValidations>
  <pageMargins left="0.25" right="0.25" top="0.75" bottom="0.75" header="0.3" footer="0.3"/>
  <pageSetup scale="65" fitToHeight="2" orientation="portrait" r:id="rId1"/>
  <headerFooter>
    <oddHeader>&amp;LBill Frequency Analysis - Weston Water Utility&amp;R&amp;D</oddHeader>
    <oddFooter>Page &amp;P of &amp;N</oddFooter>
  </headerFooter>
  <rowBreaks count="1" manualBreakCount="1">
    <brk id="75" max="10" man="1"/>
  </rowBreaks>
  <ignoredErrors>
    <ignoredError sqref="A14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7" ma:contentTypeDescription="Create a new document." ma:contentTypeScope="" ma:versionID="f11d400546c14ee36f619da95e1f5f64">
  <xsd:schema xmlns:xsd="http://www.w3.org/2001/XMLSchema" xmlns:xs="http://www.w3.org/2001/XMLSchema" xmlns:p="http://schemas.microsoft.com/office/2006/metadata/properties" xmlns:ns2="10f2cb44-b37d-4693-a5c3-140ab663d372" targetNamespace="http://schemas.microsoft.com/office/2006/metadata/properties" ma:root="true" ma:fieldsID="d4c119386d6fe4b4950c4de2b3b1e0c1" ns2:_="">
    <xsd:import namespace="10f2cb44-b37d-4693-a5c3-140ab663d37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3556B2-859A-460A-8344-CEFCDE1B1C6E}"/>
</file>

<file path=customXml/itemProps2.xml><?xml version="1.0" encoding="utf-8"?>
<ds:datastoreItem xmlns:ds="http://schemas.openxmlformats.org/officeDocument/2006/customXml" ds:itemID="{7B6C0EAF-03DB-401B-A152-9C13450C747A}"/>
</file>

<file path=customXml/itemProps3.xml><?xml version="1.0" encoding="utf-8"?>
<ds:datastoreItem xmlns:ds="http://schemas.openxmlformats.org/officeDocument/2006/customXml" ds:itemID="{2FB5A189-D13B-4E9A-8C83-45BD23D5C0E5}"/>
</file>

<file path=customXml/itemProps4.xml><?xml version="1.0" encoding="utf-8"?>
<ds:datastoreItem xmlns:ds="http://schemas.openxmlformats.org/officeDocument/2006/customXml" ds:itemID="{7BD0FB90-2A5A-4999-BBDB-1D7ADE83D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Bill Frequency Template</vt:lpstr>
      <vt:lpstr>Chart1</vt:lpstr>
      <vt:lpstr>'Bill Frequency Template'!Print_Area</vt:lpstr>
      <vt:lpstr>Units</vt:lpstr>
    </vt:vector>
  </TitlesOfParts>
  <Company>Public Service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Kemna, Stephen  PSC;Schmidt, Denise</dc:creator>
  <cp:lastModifiedBy>Hanna, Alex  PSC</cp:lastModifiedBy>
  <cp:lastPrinted>2009-11-16T15:30:21Z</cp:lastPrinted>
  <dcterms:created xsi:type="dcterms:W3CDTF">2008-11-11T21:36:02Z</dcterms:created>
  <dcterms:modified xsi:type="dcterms:W3CDTF">2016-11-07T21:08:41Z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Owner}">
    <vt:lpwstr>cssadmin</vt:lpwstr>
  </property>
  <property fmtid="{D5CDD505-2E9C-101B-9397-08002B2CF9AE}" pid="3" name="{DLP_CreatedBy}">
    <vt:lpwstr>rippj</vt:lpwstr>
  </property>
  <property fmtid="{D5CDD505-2E9C-101B-9397-08002B2CF9AE}" pid="4" name="{DLP_CreatedOn}">
    <vt:lpwstr>6/29/2010 3:04:17 PM</vt:lpwstr>
  </property>
  <property fmtid="{D5CDD505-2E9C-101B-9397-08002B2CF9AE}" pid="5" name="{DLP_Description}">
    <vt:lpwstr/>
  </property>
  <property fmtid="{D5CDD505-2E9C-101B-9397-08002B2CF9AE}" pid="6" name="{DLP_VersionNotes}">
    <vt:lpwstr/>
  </property>
  <property fmtid="{D5CDD505-2E9C-101B-9397-08002B2CF9AE}" pid="7" name="{DLP_VersionID}">
    <vt:lpwstr>2</vt:lpwstr>
  </property>
  <property fmtid="{D5CDD505-2E9C-101B-9397-08002B2CF9AE}" pid="8" name="{DLP_MinorID}">
    <vt:lpwstr>0</vt:lpwstr>
  </property>
  <property fmtid="{D5CDD505-2E9C-101B-9397-08002B2CF9AE}" pid="9" name="{DLP_Path}">
    <vt:lpwstr>PSC\Documents\Divisions\DWCCA - Division of Water Compliance and Consumer Affairs\Water\Water Conservation Tools\Bill Frequency Analysis\</vt:lpwstr>
  </property>
  <property fmtid="{D5CDD505-2E9C-101B-9397-08002B2CF9AE}" pid="10" name="{DLP_ParentFolder}">
    <vt:lpwstr>213BAADB-72FD-4843-968A-426277B6F792</vt:lpwstr>
  </property>
  <property fmtid="{D5CDD505-2E9C-101B-9397-08002B2CF9AE}" pid="11" name="{DLP_ObjectID}">
    <vt:lpwstr>7723CF72ADE14A7EB6A9C078A101D2C2</vt:lpwstr>
  </property>
  <property fmtid="{D5CDD505-2E9C-101B-9397-08002B2CF9AE}" pid="12" name="{DLP_FileName}">
    <vt:lpwstr>PSC Bill Frequency Distribution Analysis Template v1.3 v2_0.xltx</vt:lpwstr>
  </property>
  <property fmtid="{D5CDD505-2E9C-101B-9397-08002B2CF9AE}" pid="13" name="{DLP_Extension}">
    <vt:lpwstr>.xltx</vt:lpwstr>
  </property>
  <property fmtid="{D5CDD505-2E9C-101B-9397-08002B2CF9AE}" pid="14" name="{DLP_Profile}">
    <vt:lpwstr>General Documents</vt:lpwstr>
  </property>
  <property fmtid="{D5CDD505-2E9C-101B-9397-08002B2CF9AE}" pid="15" name="{DLPP_Division or Bureau}">
    <vt:lpwstr>DWCCA</vt:lpwstr>
  </property>
  <property fmtid="{D5CDD505-2E9C-101B-9397-08002B2CF9AE}" pid="16" name="{DLPP_EDM Reference Number}">
    <vt:lpwstr>00120813</vt:lpwstr>
  </property>
  <property fmtid="{D5CDD505-2E9C-101B-9397-08002B2CF9AE}" pid="17" name="ContentTypeId">
    <vt:lpwstr>0x010100E9B479DE97358D43AEB72738EE1F2D08</vt:lpwstr>
  </property>
  <property fmtid="{D5CDD505-2E9C-101B-9397-08002B2CF9AE}" pid="20" name=".KeywordTopic">
    <vt:lpwstr>1;#</vt:lpwstr>
  </property>
  <property fmtid="{D5CDD505-2E9C-101B-9397-08002B2CF9AE}" pid="21" name=".UtilityType">
    <vt:lpwstr>7</vt:lpwstr>
  </property>
  <property fmtid="{D5CDD505-2E9C-101B-9397-08002B2CF9AE}" pid="22" name=".Responsibility">
    <vt:lpwstr>1</vt:lpwstr>
  </property>
  <property fmtid="{D5CDD505-2E9C-101B-9397-08002B2CF9AE}" pid="23" name=".AudienceType">
    <vt:lpwstr>15</vt:lpwstr>
  </property>
</Properties>
</file>